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ml.chartshapes+xml"/>
  <Override PartName="/xl/ink/ink1.xml" ContentType="application/inkml+xml"/>
  <Override PartName="/xl/pivotTables/pivotTable1.xml" ContentType="application/vnd.openxmlformats-officedocument.spreadsheetml.pivot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S:\Clients\City of Vancouver\2024\Client Meetings\Governing Board Meetings\Minutes and shared documents\9.9.24\"/>
    </mc:Choice>
  </mc:AlternateContent>
  <xr:revisionPtr revIDLastSave="0" documentId="8_{201D9A1E-3484-4D13-BFDE-531B73D48AC0}" xr6:coauthVersionLast="47" xr6:coauthVersionMax="47" xr10:uidLastSave="{00000000-0000-0000-0000-000000000000}"/>
  <bookViews>
    <workbookView xWindow="28680" yWindow="-120" windowWidth="29040" windowHeight="15840" firstSheet="18" activeTab="18" xr2:uid="{00000000-000D-0000-FFFF-FFFF00000000}"/>
  </bookViews>
  <sheets>
    <sheet name="Medical_Rx_Vision (RGA Symetra)" sheetId="75" state="hidden" r:id="rId1"/>
    <sheet name="Medical_Rx_Vision (RGA) ($150K)" sheetId="69" state="hidden" r:id="rId2"/>
    <sheet name="Medical_Rx_Vision (RGA) ($125)" sheetId="72" state="hidden" r:id="rId3"/>
    <sheet name="Medical_Rx_Vision (RGA) ($100K)" sheetId="73" state="hidden" r:id="rId4"/>
    <sheet name="Medical_Rx_Vision (RGA) ($200K)" sheetId="76" state="hidden" r:id="rId5"/>
    <sheet name="Medical_Rx_Vision (RGA) ($225K)" sheetId="77" state="hidden" r:id="rId6"/>
    <sheet name="TPA Actuarial Options" sheetId="50" state="hidden" r:id="rId7"/>
    <sheet name="SL Actuarial Options" sheetId="71" state="hidden" r:id="rId8"/>
    <sheet name="Rate History (Dental)" sheetId="83" state="hidden" r:id="rId9"/>
    <sheet name="Specific SL" sheetId="80" state="hidden" r:id="rId10"/>
    <sheet name="Sheet3" sheetId="88" state="hidden" r:id="rId11"/>
    <sheet name="2023.06 to 2024.05 LC" sheetId="57" state="hidden" r:id="rId12"/>
    <sheet name="Medical &amp; Rx Total" sheetId="58" state="hidden" r:id="rId13"/>
    <sheet name="Medical &amp; Rx Total (PEPM)" sheetId="59" state="hidden" r:id="rId14"/>
    <sheet name="Dental" sheetId="60" state="hidden" r:id="rId15"/>
    <sheet name="Dental PEPM" sheetId="61" state="hidden" r:id="rId16"/>
    <sheet name="Vision" sheetId="84" state="hidden" r:id="rId17"/>
    <sheet name="Vision PEPM" sheetId="85" state="hidden" r:id="rId18"/>
    <sheet name="Kais 200 vs Reg 400" sheetId="89" r:id="rId19"/>
    <sheet name="Kais HDHP vs Reg HDHP" sheetId="102" r:id="rId20"/>
    <sheet name="Kais 500 vs Reg 500 " sheetId="90" state="hidden" r:id="rId21"/>
    <sheet name="Regence with VSP" sheetId="92" r:id="rId22"/>
    <sheet name="Regence HSA with VSP" sheetId="96" r:id="rId23"/>
    <sheet name="Kaiser w Opt" sheetId="97" r:id="rId24"/>
    <sheet name="Kaiser HSA" sheetId="94" r:id="rId25"/>
    <sheet name="Table 1" sheetId="100" r:id="rId26"/>
    <sheet name="Table 2" sheetId="101" r:id="rId27"/>
    <sheet name="City Costs 1" sheetId="103" r:id="rId28"/>
    <sheet name="City Costs 2" sheetId="104" r:id="rId29"/>
  </sheets>
  <definedNames>
    <definedName name="\r">#N/A</definedName>
    <definedName name="__123Graph_ABAR" hidden="1">#REF!</definedName>
    <definedName name="__123Graph_ACOMP" hidden="1">#REF!</definedName>
    <definedName name="__123Graph_AMAIN" hidden="1">#REF!</definedName>
    <definedName name="__123Graph_BBAR" hidden="1">#REF!</definedName>
    <definedName name="__123Graph_BCOMP" hidden="1">#REF!</definedName>
    <definedName name="__123Graph_BMAIN" hidden="1">#REF!</definedName>
    <definedName name="__123Graph_CCOMP" hidden="1">#REF!</definedName>
    <definedName name="__123Graph_DCOMP" hidden="1">#REF!</definedName>
    <definedName name="__123Graph_LBL_ABAR" hidden="1">#REF!</definedName>
    <definedName name="__123Graph_LBL_AMAIN" hidden="1">#REF!</definedName>
    <definedName name="__123Graph_LBL_BBAR" hidden="1">#REF!</definedName>
    <definedName name="__123Graph_LBL_BMAIN" hidden="1">#REF!</definedName>
    <definedName name="__123Graph_XBAR" hidden="1">#REF!</definedName>
    <definedName name="__123Graph_XCOMP" hidden="1">#REF!</definedName>
    <definedName name="__123Graph_XMAIN" hidden="1">#REF!</definedName>
    <definedName name="__PPO1" localSheetId="7">#REF!</definedName>
    <definedName name="__PPO1" localSheetId="6">#REF!</definedName>
    <definedName name="__PPO1">#REF!</definedName>
    <definedName name="__PPO2">#REF!</definedName>
    <definedName name="__RX1">#REF!</definedName>
    <definedName name="__RX2">#REF!</definedName>
    <definedName name="__UR1">#REF!</definedName>
    <definedName name="__UR2">#REF!</definedName>
    <definedName name="__WDI1">#REF!</definedName>
    <definedName name="__WDI2">#REF!</definedName>
    <definedName name="_1__123Graph_ACHART_1" hidden="1">#REF!</definedName>
    <definedName name="_10__123Graph_CCHART_2" hidden="1">#REF!</definedName>
    <definedName name="_11__123Graph_CCHART_3" hidden="1">#REF!</definedName>
    <definedName name="_11_weeks" localSheetId="18">#REF!</definedName>
    <definedName name="_11_weeks" localSheetId="20">#REF!</definedName>
    <definedName name="_11_weeks" localSheetId="19">#REF!</definedName>
    <definedName name="_11_weeks">#REF!</definedName>
    <definedName name="_12__123Graph_CCHART_4" hidden="1">#REF!</definedName>
    <definedName name="_13__123Graph_DCHART_1" hidden="1">#REF!</definedName>
    <definedName name="_14__123Graph_DCHART_2" hidden="1">#REF!</definedName>
    <definedName name="_15__123Graph_DCHART_3" hidden="1">#REF!</definedName>
    <definedName name="_16__123Graph_DCHART_4" hidden="1">#REF!</definedName>
    <definedName name="_17__123Graph_XCHART_2" hidden="1">#REF!</definedName>
    <definedName name="_18__123Graph_XCHART_3" hidden="1">#REF!</definedName>
    <definedName name="_19__123Graph_XCHART_4" hidden="1">#REF!</definedName>
    <definedName name="_2__123Graph_ACHART_2" hidden="1">#REF!</definedName>
    <definedName name="_3__123Graph_ACHART_3" hidden="1">#REF!</definedName>
    <definedName name="_4__123Graph_ACHART_4" hidden="1">#REF!</definedName>
    <definedName name="_5__123Graph_BCHART_1" hidden="1">#REF!</definedName>
    <definedName name="_6__123Graph_BCHART_2" hidden="1">#REF!</definedName>
    <definedName name="_7__123Graph_BCHART_3" hidden="1">#REF!</definedName>
    <definedName name="_7170" localSheetId="0">#REF!</definedName>
    <definedName name="_7170" localSheetId="3">#REF!</definedName>
    <definedName name="_7170" localSheetId="2">#REF!</definedName>
    <definedName name="_7170" localSheetId="1">#REF!</definedName>
    <definedName name="_7170" localSheetId="4">#REF!</definedName>
    <definedName name="_7170" localSheetId="5">#REF!</definedName>
    <definedName name="_7170" localSheetId="7">#REF!</definedName>
    <definedName name="_7170" localSheetId="6">#REF!</definedName>
    <definedName name="_7170">#REF!</definedName>
    <definedName name="_8__123Graph_BCHART_4" hidden="1">#REF!</definedName>
    <definedName name="_9__123Graph_CCHART_1" hidden="1">#REF!</definedName>
    <definedName name="_Fill" hidden="1">#REF!</definedName>
    <definedName name="_Key1" localSheetId="0" hidden="1">#REF!</definedName>
    <definedName name="_Key1" localSheetId="3" hidden="1">#REF!</definedName>
    <definedName name="_Key1" localSheetId="2" hidden="1">#REF!</definedName>
    <definedName name="_Key1" localSheetId="1" hidden="1">#REF!</definedName>
    <definedName name="_Key1" localSheetId="4" hidden="1">#REF!</definedName>
    <definedName name="_Key1" localSheetId="5" hidden="1">#REF!</definedName>
    <definedName name="_Key1" localSheetId="7" hidden="1">#REF!</definedName>
    <definedName name="_Key1" localSheetId="9" hidden="1">#REF!</definedName>
    <definedName name="_Key1" localSheetId="6" hidden="1">#REF!</definedName>
    <definedName name="_Key1" hidden="1">#REF!</definedName>
    <definedName name="_Order1" hidden="1">255</definedName>
    <definedName name="_Order2" hidden="1">255</definedName>
    <definedName name="_PPO1" localSheetId="0">#REF!</definedName>
    <definedName name="_PPO1" localSheetId="3">#REF!</definedName>
    <definedName name="_PPO1" localSheetId="2">#REF!</definedName>
    <definedName name="_PPO1" localSheetId="1">#REF!</definedName>
    <definedName name="_PPO1" localSheetId="4">#REF!</definedName>
    <definedName name="_PPO1" localSheetId="5">#REF!</definedName>
    <definedName name="_PPO1" localSheetId="7">#REF!</definedName>
    <definedName name="_PPO1" localSheetId="6">#REF!</definedName>
    <definedName name="_PPO1">#REF!</definedName>
    <definedName name="_PPO2" localSheetId="0">#REF!</definedName>
    <definedName name="_PPO2" localSheetId="3">#REF!</definedName>
    <definedName name="_PPO2" localSheetId="2">#REF!</definedName>
    <definedName name="_PPO2" localSheetId="1">#REF!</definedName>
    <definedName name="_PPO2" localSheetId="4">#REF!</definedName>
    <definedName name="_PPO2" localSheetId="5">#REF!</definedName>
    <definedName name="_PPO2" localSheetId="7">#REF!</definedName>
    <definedName name="_PPO2" localSheetId="6">#REF!</definedName>
    <definedName name="_PPO2">#REF!</definedName>
    <definedName name="_Regression_Int" hidden="1">1</definedName>
    <definedName name="_RX1" localSheetId="0">#REF!</definedName>
    <definedName name="_RX1" localSheetId="3">#REF!</definedName>
    <definedName name="_RX1" localSheetId="2">#REF!</definedName>
    <definedName name="_RX1" localSheetId="1">#REF!</definedName>
    <definedName name="_RX1" localSheetId="4">#REF!</definedName>
    <definedName name="_RX1" localSheetId="5">#REF!</definedName>
    <definedName name="_RX1" localSheetId="7">#REF!</definedName>
    <definedName name="_RX1" localSheetId="6">#REF!</definedName>
    <definedName name="_RX1">#REF!</definedName>
    <definedName name="_RX2" localSheetId="0">#REF!</definedName>
    <definedName name="_RX2" localSheetId="3">#REF!</definedName>
    <definedName name="_RX2" localSheetId="2">#REF!</definedName>
    <definedName name="_RX2" localSheetId="1">#REF!</definedName>
    <definedName name="_RX2" localSheetId="4">#REF!</definedName>
    <definedName name="_RX2" localSheetId="5">#REF!</definedName>
    <definedName name="_RX2" localSheetId="7">#REF!</definedName>
    <definedName name="_RX2" localSheetId="6">#REF!</definedName>
    <definedName name="_RX2">#REF!</definedName>
    <definedName name="_sam1" hidden="1">#REF!</definedName>
    <definedName name="_sam2" hidden="1">#REF!</definedName>
    <definedName name="_sam3" hidden="1">#REF!</definedName>
    <definedName name="_sam4" hidden="1">#REF!</definedName>
    <definedName name="_sam5" hidden="1">#REF!</definedName>
    <definedName name="_Sort" localSheetId="0" hidden="1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localSheetId="4" hidden="1">#REF!</definedName>
    <definedName name="_Sort" localSheetId="5" hidden="1">#REF!</definedName>
    <definedName name="_Sort" localSheetId="7" hidden="1">#REF!</definedName>
    <definedName name="_Sort" localSheetId="9" hidden="1">#REF!</definedName>
    <definedName name="_Sort" localSheetId="6" hidden="1">#REF!</definedName>
    <definedName name="_Sort" hidden="1">#REF!</definedName>
    <definedName name="_STD">IF(#REF!&lt;TODAY(),TRUE,FALSE)</definedName>
    <definedName name="_UR1" localSheetId="0">#REF!</definedName>
    <definedName name="_UR1" localSheetId="3">#REF!</definedName>
    <definedName name="_UR1" localSheetId="2">#REF!</definedName>
    <definedName name="_UR1" localSheetId="1">#REF!</definedName>
    <definedName name="_UR1" localSheetId="4">#REF!</definedName>
    <definedName name="_UR1" localSheetId="5">#REF!</definedName>
    <definedName name="_UR1" localSheetId="7">#REF!</definedName>
    <definedName name="_UR1" localSheetId="6">#REF!</definedName>
    <definedName name="_UR1">#REF!</definedName>
    <definedName name="_UR2" localSheetId="0">#REF!</definedName>
    <definedName name="_UR2" localSheetId="3">#REF!</definedName>
    <definedName name="_UR2" localSheetId="2">#REF!</definedName>
    <definedName name="_UR2" localSheetId="1">#REF!</definedName>
    <definedName name="_UR2" localSheetId="4">#REF!</definedName>
    <definedName name="_UR2" localSheetId="5">#REF!</definedName>
    <definedName name="_UR2" localSheetId="7">#REF!</definedName>
    <definedName name="_UR2" localSheetId="6">#REF!</definedName>
    <definedName name="_UR2">#REF!</definedName>
    <definedName name="_WDI1" localSheetId="0">#REF!</definedName>
    <definedName name="_WDI1" localSheetId="3">#REF!</definedName>
    <definedName name="_WDI1" localSheetId="2">#REF!</definedName>
    <definedName name="_WDI1" localSheetId="1">#REF!</definedName>
    <definedName name="_WDI1" localSheetId="4">#REF!</definedName>
    <definedName name="_WDI1" localSheetId="5">#REF!</definedName>
    <definedName name="_WDI1" localSheetId="7">#REF!</definedName>
    <definedName name="_WDI1" localSheetId="6">#REF!</definedName>
    <definedName name="_WDI1">#REF!</definedName>
    <definedName name="_WDI2" localSheetId="0">#REF!</definedName>
    <definedName name="_WDI2" localSheetId="3">#REF!</definedName>
    <definedName name="_WDI2" localSheetId="2">#REF!</definedName>
    <definedName name="_WDI2" localSheetId="1">#REF!</definedName>
    <definedName name="_WDI2" localSheetId="4">#REF!</definedName>
    <definedName name="_WDI2" localSheetId="5">#REF!</definedName>
    <definedName name="_WDI2" localSheetId="7">#REF!</definedName>
    <definedName name="_WDI2" localSheetId="6">#REF!</definedName>
    <definedName name="_WDI2">#REF!</definedName>
    <definedName name="A">#N/A</definedName>
    <definedName name="AAAClear" localSheetId="0">#REF!</definedName>
    <definedName name="AAAClear" localSheetId="3">#REF!</definedName>
    <definedName name="AAAClear" localSheetId="2">#REF!</definedName>
    <definedName name="AAAClear" localSheetId="1">#REF!</definedName>
    <definedName name="AAAClear" localSheetId="4">#REF!</definedName>
    <definedName name="AAAClear" localSheetId="5">#REF!</definedName>
    <definedName name="AAAClear" localSheetId="7">#REF!</definedName>
    <definedName name="AAAClear" localSheetId="6">#REF!</definedName>
    <definedName name="AAAClear">#REF!</definedName>
    <definedName name="AB">#N/A</definedName>
    <definedName name="abalk23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abc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Adam_capitation_amt_curr" hidden="1">#REF!</definedName>
    <definedName name="Adam_capitation_amt_prior" hidden="1">#REF!</definedName>
    <definedName name="Adam_premium_amt_curr" hidden="1">#REF!</definedName>
    <definedName name="Adam_premium_amt_prior" hidden="1">#REF!</definedName>
    <definedName name="adf_act_emp_fund_paid_curr" hidden="1">#REF!</definedName>
    <definedName name="adf_act_emp_fund_paid_prior" hidden="1">#REF!</definedName>
    <definedName name="adf_act_emp_plus_1_fund_paid_curr" hidden="1">#REF!</definedName>
    <definedName name="adf_act_emp_plus_1_fund_paid_prior" hidden="1">#REF!</definedName>
    <definedName name="adf_act_emp_plus_2_fund_paid_curr" hidden="1">#REF!</definedName>
    <definedName name="adf_act_emp_plus_2_fund_paid_prior" hidden="1">#REF!</definedName>
    <definedName name="adf_act_emp_plus_fam_fund_paid_curr" hidden="1">#REF!</definedName>
    <definedName name="adf_act_emp_plus_fam_fund_paid_prior" hidden="1">#REF!</definedName>
    <definedName name="adf_act_total_fund_paid_curr" hidden="1">#REF!</definedName>
    <definedName name="adf_act_total_fund_paid_prior" hidden="1">#REF!</definedName>
    <definedName name="ADF_Activity_By_Tier_Range" hidden="1">#REF!</definedName>
    <definedName name="ADF_Activity_Detail_Range" hidden="1">#REF!</definedName>
    <definedName name="ADF_Fund_Report_Range" hidden="1">#REF!</definedName>
    <definedName name="adf_term_emp_fund_paid_curr" hidden="1">#REF!</definedName>
    <definedName name="adf_term_emp_fund_paid_prior" hidden="1">#REF!</definedName>
    <definedName name="adf_term_emp_plus_1_fund_paid_curr" hidden="1">#REF!</definedName>
    <definedName name="adf_term_emp_plus_1_fund_paid_prior" hidden="1">#REF!</definedName>
    <definedName name="adf_term_emp_plus_2_fund_paid_curr" hidden="1">#REF!</definedName>
    <definedName name="adf_term_emp_plus_2_fund_paid_prior" hidden="1">#REF!</definedName>
    <definedName name="adf_term_emp_plus_fam_fund_paid_curr" hidden="1">#REF!</definedName>
    <definedName name="adf_term_emp_plus_fam_fund_paid_prior" hidden="1">#REF!</definedName>
    <definedName name="adf_term_total_fund_paid_curr" hidden="1">#REF!</definedName>
    <definedName name="adf_term_total_fund_paid_prior" hidden="1">#REF!</definedName>
    <definedName name="adf_termed_tier1_active_employee_curr" hidden="1">#REF!</definedName>
    <definedName name="adf_termed_tier1_cr_claim_paid_with_cr_funds_curr" hidden="1">#REF!</definedName>
    <definedName name="adf_termed_tier1_cr_clm_paid_with_rollover_funds_curr" hidden="1">#REF!</definedName>
    <definedName name="adf_termed_tier1_cr_fund_remaining_curr" hidden="1">#REF!</definedName>
    <definedName name="adf_termed_tier1_cr_year_initial_fund_curr" hidden="1">#REF!</definedName>
    <definedName name="adf_termed_tier1_emp_0_spend_curr" hidden="1">#REF!</definedName>
    <definedName name="adf_termed_tier1_emp_100_spend_curr" hidden="1">#REF!</definedName>
    <definedName name="adf_termed_tier1_emp_24_1_spend_curr" hidden="1">#REF!</definedName>
    <definedName name="adf_termed_tier1_emp_49_25_spend_curr" hidden="1">#REF!</definedName>
    <definedName name="adf_termed_tier1_emp_74_50_spend_curr" hidden="1">#REF!</definedName>
    <definedName name="adf_termed_tier1_emp_99_75_spend_curr" hidden="1">#REF!</definedName>
    <definedName name="adf_termed_tier1_Incentive_fund_earned_curr" hidden="1">#REF!</definedName>
    <definedName name="adf_termed_tier1_rollover_fund_remaining_curr" hidden="1">#REF!</definedName>
    <definedName name="adf_termed_tier1_rollover_pr_year_curr" hidden="1">#REF!</definedName>
    <definedName name="adf_termed_tier1_tot_fund_available_curr" hidden="1">#REF!</definedName>
    <definedName name="adf_termed_tier2_active_employee_curr" hidden="1">#REF!</definedName>
    <definedName name="adf_termed_tier2_cr_claim_paid_with_cr_funds_curr" hidden="1">#REF!</definedName>
    <definedName name="adf_termed_tier2_cr_clm_paid_with_rollover_funds_curr" hidden="1">#REF!</definedName>
    <definedName name="adf_termed_tier2_cr_fund_remaining_curr" hidden="1">#REF!</definedName>
    <definedName name="adf_termed_tier2_cr_year_initial_fund_curr" hidden="1">#REF!</definedName>
    <definedName name="adf_termed_tier2_emp_0_spend_curr" hidden="1">#REF!</definedName>
    <definedName name="adf_termed_tier2_emp_100_spend_curr" hidden="1">#REF!</definedName>
    <definedName name="adf_termed_tier2_emp_24_1_spend_curr" hidden="1">#REF!</definedName>
    <definedName name="adf_termed_tier2_emp_49_25_spend_curr" hidden="1">#REF!</definedName>
    <definedName name="adf_termed_tier2_emp_74_50_spend_curr" hidden="1">#REF!</definedName>
    <definedName name="adf_termed_tier2_emp_99_75_spend_curr" hidden="1">#REF!</definedName>
    <definedName name="adf_termed_tier2_Incentive_fund_earned_curr" hidden="1">#REF!</definedName>
    <definedName name="adf_termed_tier2_rollover_fund_remaining_curr" hidden="1">#REF!</definedName>
    <definedName name="adf_termed_tier2_rollover_pr_year_curr" hidden="1">#REF!</definedName>
    <definedName name="adf_termed_tier2_tot_fund_available_curr" hidden="1">#REF!</definedName>
    <definedName name="adf_termed_tier3_active_employee_curr" hidden="1">#REF!</definedName>
    <definedName name="adf_termed_tier3_cr_claim_paid_with_cr_funds_curr" hidden="1">#REF!</definedName>
    <definedName name="adf_termed_tier3_cr_clm_paid_with_rollover_funds_curr" hidden="1">#REF!</definedName>
    <definedName name="adf_termed_tier3_cr_fund_remaining_curr" hidden="1">#REF!</definedName>
    <definedName name="adf_termed_tier3_cr_year_initial_fund_curr" hidden="1">#REF!</definedName>
    <definedName name="adf_termed_tier3_emp_0_spend_curr" hidden="1">#REF!</definedName>
    <definedName name="adf_termed_tier3_emp_100_spend_curr" hidden="1">#REF!</definedName>
    <definedName name="adf_termed_tier3_emp_24_1_spend_curr" hidden="1">#REF!</definedName>
    <definedName name="adf_termed_tier3_emp_49_25_spend_curr" hidden="1">#REF!</definedName>
    <definedName name="adf_termed_tier3_emp_74_50_spend_curr" hidden="1">#REF!</definedName>
    <definedName name="adf_termed_tier3_emp_99_75_spend_curr" hidden="1">#REF!</definedName>
    <definedName name="adf_termed_tier3_Incentive_fund_earned_curr" hidden="1">#REF!</definedName>
    <definedName name="adf_termed_tier3_rollover_fund_remaining_curr" hidden="1">#REF!</definedName>
    <definedName name="adf_termed_tier3_rollover_pr_year_curr" hidden="1">#REF!</definedName>
    <definedName name="adf_termed_tier3_tot_fund_available_curr" hidden="1">#REF!</definedName>
    <definedName name="adf_termed_tier4_active_employee_curr" hidden="1">#REF!</definedName>
    <definedName name="adf_termed_tier4_cr_claim_paid_with_cr_funds_curr" hidden="1">#REF!</definedName>
    <definedName name="adf_termed_tier4_cr_clm_paid_with_rollover_funds_curr" hidden="1">#REF!</definedName>
    <definedName name="adf_termed_tier4_cr_fund_remaining_curr" hidden="1">#REF!</definedName>
    <definedName name="adf_termed_tier4_cr_year_initial_fund_curr" hidden="1">#REF!</definedName>
    <definedName name="adf_termed_tier4_emp_0_spend_curr" hidden="1">#REF!</definedName>
    <definedName name="adf_termed_tier4_emp_100_spend_curr" hidden="1">#REF!</definedName>
    <definedName name="adf_termed_tier4_emp_24_1_spend_curr" hidden="1">#REF!</definedName>
    <definedName name="adf_termed_tier4_emp_49_25_spend_curr" hidden="1">#REF!</definedName>
    <definedName name="adf_termed_tier4_emp_74_50_spend_curr" hidden="1">#REF!</definedName>
    <definedName name="adf_termed_tier4_emp_99_75_spend_curr" hidden="1">#REF!</definedName>
    <definedName name="adf_termed_tier4_Incentive_fund_earned_curr" hidden="1">#REF!</definedName>
    <definedName name="adf_termed_tier4_rollover_fund_remaining_curr" hidden="1">#REF!</definedName>
    <definedName name="adf_termed_tier4_rollover_pr_year_curr" hidden="1">#REF!</definedName>
    <definedName name="adf_termed_tier4_tot_fund_available_curr" hidden="1">#REF!</definedName>
    <definedName name="adf_tier1_active_employee_curr" hidden="1">#REF!</definedName>
    <definedName name="adf_tier1_cr_claim_paid_with_cr_funds_curr" hidden="1">#REF!</definedName>
    <definedName name="adf_tier1_cr_clm_paid_with_rollover_funds_curr" hidden="1">#REF!</definedName>
    <definedName name="adf_tier1_cr_fund_remaining_curr" hidden="1">#REF!</definedName>
    <definedName name="adf_tier1_cr_year_initial_fund_curr" hidden="1">#REF!</definedName>
    <definedName name="adf_tier1_emp_0_spend_curr" hidden="1">#REF!</definedName>
    <definedName name="adf_tier1_emp_100_spend_curr" hidden="1">#REF!</definedName>
    <definedName name="adf_tier1_emp_24_1_spend_curr" hidden="1">#REF!</definedName>
    <definedName name="adf_tier1_emp_49_25_spend_curr" hidden="1">#REF!</definedName>
    <definedName name="adf_tier1_emp_74_50_spend_curr" hidden="1">#REF!</definedName>
    <definedName name="adf_tier1_emp_99_75_spend_curr" hidden="1">#REF!</definedName>
    <definedName name="adf_tier1_Incentive_fund_earned_curr" hidden="1">#REF!</definedName>
    <definedName name="adf_tier1_rollover_fund_remaining_curr" hidden="1">#REF!</definedName>
    <definedName name="adf_tier1_rollover_pr_year_curr" hidden="1">#REF!</definedName>
    <definedName name="adf_tier1_tot_fund_available_curr" hidden="1">#REF!</definedName>
    <definedName name="adf_tier2_active_employee_curr" hidden="1">#REF!</definedName>
    <definedName name="adf_tier2_cr_claim_paid_with_cr_funds_curr" hidden="1">#REF!</definedName>
    <definedName name="adf_tier2_cr_clm_paid_with_rollover_funds_curr" hidden="1">#REF!</definedName>
    <definedName name="adf_tier2_cr_fund_remaining_curr" hidden="1">#REF!</definedName>
    <definedName name="adf_tier2_cr_year_initial_fund_curr" hidden="1">#REF!</definedName>
    <definedName name="adf_tier2_emp_0_spend_curr" hidden="1">#REF!</definedName>
    <definedName name="adf_tier2_emp_100_spend_curr" hidden="1">#REF!</definedName>
    <definedName name="adf_tier2_emp_24_1_spend_curr" hidden="1">#REF!</definedName>
    <definedName name="adf_tier2_emp_49_25_spend_curr" hidden="1">#REF!</definedName>
    <definedName name="adf_tier2_emp_74_50_spend_curr" hidden="1">#REF!</definedName>
    <definedName name="adf_tier2_emp_99_75_spend_curr" hidden="1">#REF!</definedName>
    <definedName name="adf_tier2_Incentive_fund_earned_curr" hidden="1">#REF!</definedName>
    <definedName name="adf_tier2_rollover_fund_remaining_curr" hidden="1">#REF!</definedName>
    <definedName name="adf_tier2_rollover_pr_year_curr" hidden="1">#REF!</definedName>
    <definedName name="adf_tier2_tot_fund_available_curr" hidden="1">#REF!</definedName>
    <definedName name="adf_tier3_active_employee_curr" hidden="1">#REF!</definedName>
    <definedName name="adf_tier3_cr_claim_paid_with_cr_funds_curr" hidden="1">#REF!</definedName>
    <definedName name="adf_tier3_cr_clm_paid_with_rollover_funds_curr" hidden="1">#REF!</definedName>
    <definedName name="adf_tier3_cr_fund_remaining_curr" hidden="1">#REF!</definedName>
    <definedName name="adf_tier3_cr_year_initial_fund_curr" hidden="1">#REF!</definedName>
    <definedName name="adf_tier3_emp_0_spend_curr" hidden="1">#REF!</definedName>
    <definedName name="adf_tier3_emp_100_spend_curr" hidden="1">#REF!</definedName>
    <definedName name="adf_tier3_emp_24_1_spend_curr" hidden="1">#REF!</definedName>
    <definedName name="adf_tier3_emp_49_25_spend_curr" hidden="1">#REF!</definedName>
    <definedName name="adf_tier3_emp_74_50_spend_curr" hidden="1">#REF!</definedName>
    <definedName name="adf_tier3_emp_99_75_spend_curr" hidden="1">#REF!</definedName>
    <definedName name="adf_tier3_Incentive_fund_earned_curr" hidden="1">#REF!</definedName>
    <definedName name="adf_tier3_rollover_fund_remaining_curr" hidden="1">#REF!</definedName>
    <definedName name="adf_tier3_rollover_pr_year_curr" hidden="1">#REF!</definedName>
    <definedName name="adf_tier3_tot_fund_available_curr" hidden="1">#REF!</definedName>
    <definedName name="adf_tier4_active_employee_curr" hidden="1">#REF!</definedName>
    <definedName name="adf_tier4_cr_claim_paid_with_cr_funds_curr" hidden="1">#REF!</definedName>
    <definedName name="adf_tier4_cr_clm_paid_with_rollover_funds_curr" hidden="1">#REF!</definedName>
    <definedName name="adf_tier4_cr_fund_remaining_curr" hidden="1">#REF!</definedName>
    <definedName name="adf_tier4_cr_year_initial_fund_curr" hidden="1">#REF!</definedName>
    <definedName name="adf_tier4_emp_0_spend_curr" hidden="1">#REF!</definedName>
    <definedName name="adf_tier4_emp_100_spend_curr" hidden="1">#REF!</definedName>
    <definedName name="adf_tier4_emp_24_1_spend_curr" hidden="1">#REF!</definedName>
    <definedName name="adf_tier4_emp_49_25_spend_curr" hidden="1">#REF!</definedName>
    <definedName name="adf_tier4_emp_74_50_spend_curr" hidden="1">#REF!</definedName>
    <definedName name="adf_tier4_emp_99_75_spend_curr" hidden="1">#REF!</definedName>
    <definedName name="adf_tier4_Incentive_fund_earned_curr" hidden="1">#REF!</definedName>
    <definedName name="adf_tier4_rollover_fund_remaining_curr" hidden="1">#REF!</definedName>
    <definedName name="adf_tier4_rollover_pr_year_curr" hidden="1">#REF!</definedName>
    <definedName name="adf_tier4_tot_fund_available_curr" hidden="1">#REF!</definedName>
    <definedName name="adf_total_active_employee_curr" hidden="1">#REF!</definedName>
    <definedName name="adf_total_cr_claim_paid_with_cr_funds_curr" hidden="1">#REF!</definedName>
    <definedName name="adf_total_cr_clm_paid_with_rollover_funds_curr" hidden="1">#REF!</definedName>
    <definedName name="adf_total_cr_fund_remaining_curr" hidden="1">#REF!</definedName>
    <definedName name="adf_total_cr_year_initial_fund_curr" hidden="1">#REF!</definedName>
    <definedName name="adf_total_emp_0_spend_curr" hidden="1">#REF!</definedName>
    <definedName name="adf_total_emp_100_spend_curr" hidden="1">#REF!</definedName>
    <definedName name="adf_total_emp_24_1_spend_curr" hidden="1">#REF!</definedName>
    <definedName name="adf_total_emp_49_25_spend_curr" hidden="1">#REF!</definedName>
    <definedName name="adf_total_emp_74_50_spend_curr" hidden="1">#REF!</definedName>
    <definedName name="adf_total_emp_99_75_spend_curr" hidden="1">#REF!</definedName>
    <definedName name="adf_total_Incentive_fund_earned_curr" hidden="1">#REF!</definedName>
    <definedName name="adf_total_rollover_fund_remaining_curr" hidden="1">#REF!</definedName>
    <definedName name="adf_total_rollover_pr_year_curr" hidden="1">#REF!</definedName>
    <definedName name="adf_total_termd_active_employee_curr" hidden="1">#REF!</definedName>
    <definedName name="adf_total_termd_cr_claim_paid_with_cr_funds_curr" hidden="1">#REF!</definedName>
    <definedName name="adf_total_termd_cr_clm_paid_with_rollover_funds_curr" hidden="1">#REF!</definedName>
    <definedName name="adf_total_termd_cr_fund_remaining_curr" hidden="1">#REF!</definedName>
    <definedName name="adf_total_termd_cr_year_initial_fund_curr" hidden="1">#REF!</definedName>
    <definedName name="adf_total_termd_emp_0_spend_curr" hidden="1">#REF!</definedName>
    <definedName name="adf_total_termd_emp_100_spend_curr" hidden="1">#REF!</definedName>
    <definedName name="adf_total_termd_emp_24_1_spend_curr" hidden="1">#REF!</definedName>
    <definedName name="adf_total_termd_emp_49_25_spend_curr" hidden="1">#REF!</definedName>
    <definedName name="adf_total_termd_emp_74_50_spend_curr" hidden="1">#REF!</definedName>
    <definedName name="adf_total_termd_emp_99_75_spend_curr" hidden="1">#REF!</definedName>
    <definedName name="adf_total_termd_Incentive_fund_earned_curr" hidden="1">#REF!</definedName>
    <definedName name="adf_total_termd_rollover_fund_remaining_curr" hidden="1">#REF!</definedName>
    <definedName name="adf_total_termd_rollover_pr_year_curr" hidden="1">#REF!</definedName>
    <definedName name="adf_total_termd_tot_fund_available_curr" hidden="1">#REF!</definedName>
    <definedName name="adf_total_tot_fund_available_curr" hidden="1">#REF!</definedName>
    <definedName name="ADMIN1" localSheetId="0">#REF!</definedName>
    <definedName name="ADMIN1" localSheetId="3">#REF!</definedName>
    <definedName name="ADMIN1" localSheetId="2">#REF!</definedName>
    <definedName name="ADMIN1" localSheetId="1">#REF!</definedName>
    <definedName name="ADMIN1" localSheetId="4">#REF!</definedName>
    <definedName name="ADMIN1" localSheetId="5">#REF!</definedName>
    <definedName name="ADMIN1" localSheetId="7">#REF!</definedName>
    <definedName name="ADMIN1" localSheetId="6">#REF!</definedName>
    <definedName name="ADMIN1">#REF!</definedName>
    <definedName name="ADMIN2" localSheetId="0">#REF!</definedName>
    <definedName name="ADMIN2" localSheetId="3">#REF!</definedName>
    <definedName name="ADMIN2" localSheetId="2">#REF!</definedName>
    <definedName name="ADMIN2" localSheetId="1">#REF!</definedName>
    <definedName name="ADMIN2" localSheetId="4">#REF!</definedName>
    <definedName name="ADMIN2" localSheetId="5">#REF!</definedName>
    <definedName name="ADMIN2" localSheetId="7">#REF!</definedName>
    <definedName name="ADMIN2" localSheetId="6">#REF!</definedName>
    <definedName name="ADMIN2">#REF!</definedName>
    <definedName name="Aex_Amb_MDC_Range" hidden="1">#REF!</definedName>
    <definedName name="aex_Amb_OON_claimants_00_curr" hidden="1">#REF!</definedName>
    <definedName name="aex_Amb_OON_claimants_01_curr" hidden="1">#REF!</definedName>
    <definedName name="aex_Amb_OON_claimants_02_curr" hidden="1">#REF!</definedName>
    <definedName name="aex_Amb_OON_claimants_03_curr" hidden="1">#REF!</definedName>
    <definedName name="aex_Amb_OON_claimants_04_curr" hidden="1">#REF!</definedName>
    <definedName name="aex_Amb_OON_claimants_05_curr" hidden="1">#REF!</definedName>
    <definedName name="aex_Amb_OON_claimants_06_curr" hidden="1">#REF!</definedName>
    <definedName name="aex_Amb_OON_claimants_07_curr" hidden="1">#REF!</definedName>
    <definedName name="aex_Amb_OON_claimants_08_curr" hidden="1">#REF!</definedName>
    <definedName name="aex_Amb_OON_claimants_09_curr" hidden="1">#REF!</definedName>
    <definedName name="aex_Amb_OON_claimants_10_curr" hidden="1">#REF!</definedName>
    <definedName name="aex_Amb_OON_claimants_11_curr" hidden="1">#REF!</definedName>
    <definedName name="aex_Amb_OON_claimants_12_curr" hidden="1">#REF!</definedName>
    <definedName name="aex_Amb_OON_claimants_13_curr" hidden="1">#REF!</definedName>
    <definedName name="aex_Amb_OON_claimants_14_curr" hidden="1">#REF!</definedName>
    <definedName name="aex_Amb_OON_claimants_15_curr" hidden="1">#REF!</definedName>
    <definedName name="aex_Amb_OON_claimants_16_curr" hidden="1">#REF!</definedName>
    <definedName name="aex_Amb_OON_claimants_17_curr" hidden="1">#REF!</definedName>
    <definedName name="aex_Amb_OON_claimants_18_curr" hidden="1">#REF!</definedName>
    <definedName name="aex_Amb_OON_claimants_19_curr" hidden="1">#REF!</definedName>
    <definedName name="aex_Amb_OON_claimants_20_curr" hidden="1">#REF!</definedName>
    <definedName name="aex_Amb_OON_claimants_21_curr" hidden="1">#REF!</definedName>
    <definedName name="aex_Amb_OON_claimants_22_curr" hidden="1">#REF!</definedName>
    <definedName name="aex_Amb_OON_claimants_23_curr" hidden="1">#REF!</definedName>
    <definedName name="aex_Amb_OON_claimants_24_curr" hidden="1">#REF!</definedName>
    <definedName name="aex_Amb_OON_paid_amt_00_curr" hidden="1">#REF!</definedName>
    <definedName name="aex_Amb_OON_paid_amt_01_curr" hidden="1">#REF!</definedName>
    <definedName name="aex_Amb_OON_paid_amt_02_curr" hidden="1">#REF!</definedName>
    <definedName name="aex_Amb_OON_paid_amt_03_curr" hidden="1">#REF!</definedName>
    <definedName name="aex_Amb_OON_paid_amt_04_curr" hidden="1">#REF!</definedName>
    <definedName name="aex_Amb_OON_paid_amt_05_curr" hidden="1">#REF!</definedName>
    <definedName name="aex_Amb_OON_paid_amt_06_curr" hidden="1">#REF!</definedName>
    <definedName name="aex_Amb_OON_paid_amt_07_curr" hidden="1">#REF!</definedName>
    <definedName name="aex_Amb_OON_paid_amt_08_curr" hidden="1">#REF!</definedName>
    <definedName name="aex_Amb_OON_paid_amt_09_curr" hidden="1">#REF!</definedName>
    <definedName name="aex_Amb_OON_paid_amt_10_curr" hidden="1">#REF!</definedName>
    <definedName name="aex_Amb_OON_paid_amt_11_curr" hidden="1">#REF!</definedName>
    <definedName name="aex_Amb_OON_paid_amt_12_curr" hidden="1">#REF!</definedName>
    <definedName name="aex_Amb_OON_paid_amt_13_curr" hidden="1">#REF!</definedName>
    <definedName name="aex_Amb_OON_paid_amt_14_curr" hidden="1">#REF!</definedName>
    <definedName name="aex_Amb_OON_paid_amt_15_curr" hidden="1">#REF!</definedName>
    <definedName name="aex_Amb_OON_paid_amt_16_curr" hidden="1">#REF!</definedName>
    <definedName name="aex_Amb_OON_paid_amt_17_curr" hidden="1">#REF!</definedName>
    <definedName name="aex_Amb_OON_paid_amt_18_curr" hidden="1">#REF!</definedName>
    <definedName name="aex_Amb_OON_paid_amt_19_curr" hidden="1">#REF!</definedName>
    <definedName name="aex_Amb_OON_paid_amt_20_curr" hidden="1">#REF!</definedName>
    <definedName name="aex_Amb_OON_paid_amt_21_curr" hidden="1">#REF!</definedName>
    <definedName name="aex_Amb_OON_paid_amt_22_curr" hidden="1">#REF!</definedName>
    <definedName name="aex_Amb_OON_paid_amt_23_curr" hidden="1">#REF!</definedName>
    <definedName name="aex_Amb_OON_paid_amt_24_curr" hidden="1">#REF!</definedName>
    <definedName name="aex_Amb_Tier1_claimants_00_curr" hidden="1">#REF!</definedName>
    <definedName name="aex_Amb_Tier1_claimants_01_curr" hidden="1">#REF!</definedName>
    <definedName name="aex_Amb_Tier1_claimants_02_curr" hidden="1">#REF!</definedName>
    <definedName name="aex_Amb_Tier1_claimants_03_curr" hidden="1">#REF!</definedName>
    <definedName name="aex_Amb_Tier1_claimants_04_curr" hidden="1">#REF!</definedName>
    <definedName name="aex_Amb_Tier1_claimants_05_curr" hidden="1">#REF!</definedName>
    <definedName name="aex_Amb_Tier1_claimants_06_curr" hidden="1">#REF!</definedName>
    <definedName name="aex_Amb_Tier1_claimants_07_curr" hidden="1">#REF!</definedName>
    <definedName name="aex_Amb_Tier1_claimants_08_curr" hidden="1">#REF!</definedName>
    <definedName name="aex_Amb_Tier1_claimants_09_curr" hidden="1">#REF!</definedName>
    <definedName name="aex_Amb_Tier1_claimants_10_curr" hidden="1">#REF!</definedName>
    <definedName name="aex_Amb_Tier1_claimants_11_curr" hidden="1">#REF!</definedName>
    <definedName name="aex_Amb_Tier1_claimants_12_curr" hidden="1">#REF!</definedName>
    <definedName name="aex_Amb_Tier1_claimants_13_curr" hidden="1">#REF!</definedName>
    <definedName name="aex_Amb_Tier1_claimants_14_curr" hidden="1">#REF!</definedName>
    <definedName name="aex_Amb_Tier1_claimants_15_curr" hidden="1">#REF!</definedName>
    <definedName name="aex_Amb_Tier1_claimants_16_curr" hidden="1">#REF!</definedName>
    <definedName name="aex_Amb_Tier1_claimants_17_curr" hidden="1">#REF!</definedName>
    <definedName name="aex_Amb_Tier1_claimants_18_curr" hidden="1">#REF!</definedName>
    <definedName name="aex_Amb_Tier1_claimants_19_curr" hidden="1">#REF!</definedName>
    <definedName name="aex_Amb_Tier1_claimants_20_curr" hidden="1">#REF!</definedName>
    <definedName name="aex_Amb_Tier1_claimants_21_curr" hidden="1">#REF!</definedName>
    <definedName name="aex_Amb_Tier1_claimants_22_curr" hidden="1">#REF!</definedName>
    <definedName name="aex_Amb_Tier1_claimants_23_curr" hidden="1">#REF!</definedName>
    <definedName name="aex_Amb_Tier1_claimants_24_curr" hidden="1">#REF!</definedName>
    <definedName name="aex_Amb_Tier1_paid_amt_00_curr" hidden="1">#REF!</definedName>
    <definedName name="aex_Amb_Tier1_paid_amt_01_curr" hidden="1">#REF!</definedName>
    <definedName name="aex_Amb_Tier1_paid_amt_02_curr" hidden="1">#REF!</definedName>
    <definedName name="aex_Amb_Tier1_paid_amt_03_curr" hidden="1">#REF!</definedName>
    <definedName name="aex_Amb_Tier1_paid_amt_04_curr" hidden="1">#REF!</definedName>
    <definedName name="aex_Amb_Tier1_paid_amt_05_curr" hidden="1">#REF!</definedName>
    <definedName name="aex_Amb_Tier1_paid_amt_06_curr" hidden="1">#REF!</definedName>
    <definedName name="aex_Amb_Tier1_paid_amt_07_curr" hidden="1">#REF!</definedName>
    <definedName name="aex_Amb_Tier1_paid_amt_08_curr" hidden="1">#REF!</definedName>
    <definedName name="aex_Amb_Tier1_paid_amt_09_curr" hidden="1">#REF!</definedName>
    <definedName name="aex_Amb_Tier1_paid_amt_10_curr" hidden="1">#REF!</definedName>
    <definedName name="aex_Amb_Tier1_paid_amt_11_curr" hidden="1">#REF!</definedName>
    <definedName name="aex_Amb_Tier1_paid_amt_12_curr" hidden="1">#REF!</definedName>
    <definedName name="aex_Amb_Tier1_paid_amt_13_curr" hidden="1">#REF!</definedName>
    <definedName name="aex_Amb_Tier1_paid_amt_14_curr" hidden="1">#REF!</definedName>
    <definedName name="aex_Amb_Tier1_paid_amt_15_curr" hidden="1">#REF!</definedName>
    <definedName name="aex_Amb_Tier1_paid_amt_16_curr" hidden="1">#REF!</definedName>
    <definedName name="aex_Amb_Tier1_paid_amt_17_curr" hidden="1">#REF!</definedName>
    <definedName name="aex_Amb_Tier1_paid_amt_18_curr" hidden="1">#REF!</definedName>
    <definedName name="aex_Amb_Tier1_paid_amt_19_curr" hidden="1">#REF!</definedName>
    <definedName name="aex_Amb_Tier1_paid_amt_20_curr" hidden="1">#REF!</definedName>
    <definedName name="aex_Amb_Tier1_paid_amt_21_curr" hidden="1">#REF!</definedName>
    <definedName name="aex_Amb_Tier1_paid_amt_22_curr" hidden="1">#REF!</definedName>
    <definedName name="aex_Amb_Tier1_paid_amt_23_curr" hidden="1">#REF!</definedName>
    <definedName name="aex_Amb_Tier1_paid_amt_24_curr" hidden="1">#REF!</definedName>
    <definedName name="aex_Amb_Tier2_claimants_00_curr" hidden="1">#REF!</definedName>
    <definedName name="aex_Amb_Tier2_claimants_01_curr" hidden="1">#REF!</definedName>
    <definedName name="aex_Amb_Tier2_claimants_02_curr" hidden="1">#REF!</definedName>
    <definedName name="aex_Amb_Tier2_claimants_03_curr" hidden="1">#REF!</definedName>
    <definedName name="aex_Amb_Tier2_claimants_04_curr" hidden="1">#REF!</definedName>
    <definedName name="aex_Amb_Tier2_claimants_05_curr" hidden="1">#REF!</definedName>
    <definedName name="aex_Amb_Tier2_claimants_06_curr" hidden="1">#REF!</definedName>
    <definedName name="aex_Amb_Tier2_claimants_07_curr" hidden="1">#REF!</definedName>
    <definedName name="aex_Amb_Tier2_claimants_08_curr" hidden="1">#REF!</definedName>
    <definedName name="aex_Amb_Tier2_claimants_09_curr" hidden="1">#REF!</definedName>
    <definedName name="aex_Amb_Tier2_claimants_10_curr" hidden="1">#REF!</definedName>
    <definedName name="aex_Amb_Tier2_claimants_11_curr" hidden="1">#REF!</definedName>
    <definedName name="aex_Amb_Tier2_claimants_12_curr" hidden="1">#REF!</definedName>
    <definedName name="aex_Amb_Tier2_claimants_13_curr" hidden="1">#REF!</definedName>
    <definedName name="aex_Amb_Tier2_claimants_14_curr" hidden="1">#REF!</definedName>
    <definedName name="aex_Amb_Tier2_claimants_15_curr" hidden="1">#REF!</definedName>
    <definedName name="aex_Amb_Tier2_claimants_16_curr" hidden="1">#REF!</definedName>
    <definedName name="aex_Amb_Tier2_claimants_17_curr" hidden="1">#REF!</definedName>
    <definedName name="aex_Amb_Tier2_claimants_18_curr" hidden="1">#REF!</definedName>
    <definedName name="aex_Amb_Tier2_claimants_19_curr" hidden="1">#REF!</definedName>
    <definedName name="aex_Amb_Tier2_claimants_20_curr" hidden="1">#REF!</definedName>
    <definedName name="aex_Amb_Tier2_claimants_21_curr" hidden="1">#REF!</definedName>
    <definedName name="aex_Amb_Tier2_claimants_22_curr" hidden="1">#REF!</definedName>
    <definedName name="aex_Amb_Tier2_claimants_23_curr" hidden="1">#REF!</definedName>
    <definedName name="aex_Amb_Tier2_claimants_24_curr" hidden="1">#REF!</definedName>
    <definedName name="aex_Amb_Tier2_paid_amt_00_curr" hidden="1">#REF!</definedName>
    <definedName name="aex_Amb_Tier2_paid_amt_01_curr" hidden="1">#REF!</definedName>
    <definedName name="aex_Amb_Tier2_paid_amt_02_curr" hidden="1">#REF!</definedName>
    <definedName name="aex_Amb_Tier2_paid_amt_03_curr" hidden="1">#REF!</definedName>
    <definedName name="aex_Amb_Tier2_paid_amt_04_curr" hidden="1">#REF!</definedName>
    <definedName name="aex_Amb_Tier2_paid_amt_05_curr" hidden="1">#REF!</definedName>
    <definedName name="aex_Amb_Tier2_paid_amt_06_curr" hidden="1">#REF!</definedName>
    <definedName name="aex_Amb_Tier2_paid_amt_07_curr" hidden="1">#REF!</definedName>
    <definedName name="aex_Amb_Tier2_paid_amt_08_curr" hidden="1">#REF!</definedName>
    <definedName name="aex_Amb_Tier2_paid_amt_09_curr" hidden="1">#REF!</definedName>
    <definedName name="aex_Amb_Tier2_paid_amt_10_curr" hidden="1">#REF!</definedName>
    <definedName name="aex_Amb_Tier2_paid_amt_11_curr" hidden="1">#REF!</definedName>
    <definedName name="aex_Amb_Tier2_paid_amt_12_curr" hidden="1">#REF!</definedName>
    <definedName name="aex_Amb_Tier2_paid_amt_13_curr" hidden="1">#REF!</definedName>
    <definedName name="aex_Amb_Tier2_paid_amt_14_curr" hidden="1">#REF!</definedName>
    <definedName name="aex_Amb_Tier2_paid_amt_15_curr" hidden="1">#REF!</definedName>
    <definedName name="aex_Amb_Tier2_paid_amt_16_curr" hidden="1">#REF!</definedName>
    <definedName name="aex_Amb_Tier2_paid_amt_17_curr" hidden="1">#REF!</definedName>
    <definedName name="aex_Amb_Tier2_paid_amt_18_curr" hidden="1">#REF!</definedName>
    <definedName name="aex_Amb_Tier2_paid_amt_19_curr" hidden="1">#REF!</definedName>
    <definedName name="aex_Amb_Tier2_paid_amt_20_curr" hidden="1">#REF!</definedName>
    <definedName name="aex_Amb_Tier2_paid_amt_21_curr" hidden="1">#REF!</definedName>
    <definedName name="aex_Amb_Tier2_paid_amt_22_curr" hidden="1">#REF!</definedName>
    <definedName name="aex_Amb_Tier2_paid_amt_23_curr" hidden="1">#REF!</definedName>
    <definedName name="aex_Amb_Tier2_paid_amt_24_curr" hidden="1">#REF!</definedName>
    <definedName name="aex_Amb_Tier3_claimants_00_curr" hidden="1">#REF!</definedName>
    <definedName name="aex_Amb_Tier3_claimants_01_curr" hidden="1">#REF!</definedName>
    <definedName name="aex_Amb_Tier3_claimants_02_curr" hidden="1">#REF!</definedName>
    <definedName name="aex_Amb_Tier3_claimants_03_curr" hidden="1">#REF!</definedName>
    <definedName name="aex_Amb_Tier3_claimants_04_curr" hidden="1">#REF!</definedName>
    <definedName name="aex_Amb_Tier3_claimants_05_curr" hidden="1">#REF!</definedName>
    <definedName name="aex_Amb_Tier3_claimants_06_curr" hidden="1">#REF!</definedName>
    <definedName name="aex_Amb_Tier3_claimants_07_curr" hidden="1">#REF!</definedName>
    <definedName name="aex_Amb_Tier3_claimants_08_curr" hidden="1">#REF!</definedName>
    <definedName name="aex_Amb_Tier3_claimants_09_curr" hidden="1">#REF!</definedName>
    <definedName name="aex_Amb_Tier3_claimants_10_curr" hidden="1">#REF!</definedName>
    <definedName name="aex_Amb_Tier3_claimants_11_curr" hidden="1">#REF!</definedName>
    <definedName name="aex_Amb_Tier3_claimants_12_curr" hidden="1">#REF!</definedName>
    <definedName name="aex_Amb_Tier3_claimants_13_curr" hidden="1">#REF!</definedName>
    <definedName name="aex_Amb_Tier3_claimants_14_curr" hidden="1">#REF!</definedName>
    <definedName name="aex_Amb_Tier3_claimants_15_curr" hidden="1">#REF!</definedName>
    <definedName name="aex_Amb_Tier3_claimants_16_curr" hidden="1">#REF!</definedName>
    <definedName name="aex_Amb_Tier3_claimants_17_curr" hidden="1">#REF!</definedName>
    <definedName name="aex_Amb_Tier3_claimants_18_curr" hidden="1">#REF!</definedName>
    <definedName name="aex_Amb_Tier3_claimants_19_curr" hidden="1">#REF!</definedName>
    <definedName name="aex_Amb_Tier3_claimants_20_curr" hidden="1">#REF!</definedName>
    <definedName name="aex_Amb_Tier3_claimants_21_curr" hidden="1">#REF!</definedName>
    <definedName name="aex_Amb_Tier3_claimants_22_curr" hidden="1">#REF!</definedName>
    <definedName name="aex_Amb_Tier3_claimants_23_curr" hidden="1">#REF!</definedName>
    <definedName name="aex_Amb_Tier3_claimants_24_curr" hidden="1">#REF!</definedName>
    <definedName name="aex_Amb_Tier3_paid_amt_00_curr" hidden="1">#REF!</definedName>
    <definedName name="aex_Amb_Tier3_paid_amt_01_curr" hidden="1">#REF!</definedName>
    <definedName name="aex_Amb_Tier3_paid_amt_02_curr" hidden="1">#REF!</definedName>
    <definedName name="aex_Amb_Tier3_paid_amt_03_curr" hidden="1">#REF!</definedName>
    <definedName name="aex_Amb_Tier3_paid_amt_04_curr" hidden="1">#REF!</definedName>
    <definedName name="aex_Amb_Tier3_paid_amt_05_curr" hidden="1">#REF!</definedName>
    <definedName name="aex_Amb_Tier3_paid_amt_06_curr" hidden="1">#REF!</definedName>
    <definedName name="aex_Amb_Tier3_paid_amt_07_curr" hidden="1">#REF!</definedName>
    <definedName name="aex_Amb_Tier3_paid_amt_08_curr" hidden="1">#REF!</definedName>
    <definedName name="aex_Amb_Tier3_paid_amt_09_curr" hidden="1">#REF!</definedName>
    <definedName name="aex_Amb_Tier3_paid_amt_10_curr" hidden="1">#REF!</definedName>
    <definedName name="aex_Amb_Tier3_paid_amt_11_curr" hidden="1">#REF!</definedName>
    <definedName name="aex_Amb_Tier3_paid_amt_12_curr" hidden="1">#REF!</definedName>
    <definedName name="aex_Amb_Tier3_paid_amt_13_curr" hidden="1">#REF!</definedName>
    <definedName name="aex_Amb_Tier3_paid_amt_14_curr" hidden="1">#REF!</definedName>
    <definedName name="aex_Amb_Tier3_paid_amt_15_curr" hidden="1">#REF!</definedName>
    <definedName name="aex_Amb_Tier3_paid_amt_16_curr" hidden="1">#REF!</definedName>
    <definedName name="aex_Amb_Tier3_paid_amt_17_curr" hidden="1">#REF!</definedName>
    <definedName name="aex_Amb_Tier3_paid_amt_18_curr" hidden="1">#REF!</definedName>
    <definedName name="aex_Amb_Tier3_paid_amt_19_curr" hidden="1">#REF!</definedName>
    <definedName name="aex_Amb_Tier3_paid_amt_20_curr" hidden="1">#REF!</definedName>
    <definedName name="aex_Amb_Tier3_paid_amt_21_curr" hidden="1">#REF!</definedName>
    <definedName name="aex_Amb_Tier3_paid_amt_22_curr" hidden="1">#REF!</definedName>
    <definedName name="aex_Amb_Tier3_paid_amt_23_curr" hidden="1">#REF!</definedName>
    <definedName name="aex_Amb_Tier3_paid_amt_24_curr" hidden="1">#REF!</definedName>
    <definedName name="Aex_Experience_by_Tier_Range" hidden="1">#REF!</definedName>
    <definedName name="aex_inp_OON_admits_00_curr" hidden="1">#REF!</definedName>
    <definedName name="aex_inp_OON_admits_01_curr" hidden="1">#REF!</definedName>
    <definedName name="aex_inp_OON_admits_02_curr" hidden="1">#REF!</definedName>
    <definedName name="aex_inp_OON_admits_03_curr" hidden="1">#REF!</definedName>
    <definedName name="aex_inp_OON_admits_04_curr" hidden="1">#REF!</definedName>
    <definedName name="aex_inp_OON_admits_05_curr" hidden="1">#REF!</definedName>
    <definedName name="aex_inp_OON_admits_06_curr" hidden="1">#REF!</definedName>
    <definedName name="aex_inp_OON_admits_07_curr" hidden="1">#REF!</definedName>
    <definedName name="aex_inp_OON_admits_08_curr" hidden="1">#REF!</definedName>
    <definedName name="aex_inp_OON_admits_09_curr" hidden="1">#REF!</definedName>
    <definedName name="aex_inp_OON_admits_10_curr" hidden="1">#REF!</definedName>
    <definedName name="aex_inp_OON_admits_11_curr" hidden="1">#REF!</definedName>
    <definedName name="aex_inp_OON_admits_12_curr" hidden="1">#REF!</definedName>
    <definedName name="aex_inp_OON_admits_13_curr" hidden="1">#REF!</definedName>
    <definedName name="aex_inp_OON_admits_14_curr" hidden="1">#REF!</definedName>
    <definedName name="aex_inp_OON_admits_15_curr" hidden="1">#REF!</definedName>
    <definedName name="aex_inp_OON_admits_16_curr" hidden="1">#REF!</definedName>
    <definedName name="aex_inp_OON_admits_17_curr" hidden="1">#REF!</definedName>
    <definedName name="aex_inp_OON_admits_18_curr" hidden="1">#REF!</definedName>
    <definedName name="aex_inp_OON_admits_19_curr" hidden="1">#REF!</definedName>
    <definedName name="aex_inp_OON_admits_20_curr" hidden="1">#REF!</definedName>
    <definedName name="aex_inp_OON_admits_21_curr" hidden="1">#REF!</definedName>
    <definedName name="aex_inp_OON_admits_22_curr" hidden="1">#REF!</definedName>
    <definedName name="aex_inp_OON_admits_23_curr" hidden="1">#REF!</definedName>
    <definedName name="aex_inp_OON_admits_24_curr" hidden="1">#REF!</definedName>
    <definedName name="aex_inp_OON_days_00_curr" hidden="1">#REF!</definedName>
    <definedName name="aex_inp_OON_days_01_curr" hidden="1">#REF!</definedName>
    <definedName name="aex_inp_OON_days_02_curr" hidden="1">#REF!</definedName>
    <definedName name="aex_inp_OON_days_03_curr" hidden="1">#REF!</definedName>
    <definedName name="aex_inp_OON_days_04_curr" hidden="1">#REF!</definedName>
    <definedName name="aex_inp_OON_days_05_curr" hidden="1">#REF!</definedName>
    <definedName name="aex_inp_OON_days_06_curr" hidden="1">#REF!</definedName>
    <definedName name="aex_inp_OON_days_07_curr" hidden="1">#REF!</definedName>
    <definedName name="aex_inp_OON_days_08_curr" hidden="1">#REF!</definedName>
    <definedName name="aex_inp_OON_days_09_curr" hidden="1">#REF!</definedName>
    <definedName name="aex_inp_OON_days_10_curr" hidden="1">#REF!</definedName>
    <definedName name="aex_inp_OON_days_11_curr" hidden="1">#REF!</definedName>
    <definedName name="aex_inp_OON_days_12_curr" hidden="1">#REF!</definedName>
    <definedName name="aex_inp_OON_days_13_curr" hidden="1">#REF!</definedName>
    <definedName name="aex_inp_OON_days_14_curr" hidden="1">#REF!</definedName>
    <definedName name="aex_inp_OON_days_15_curr" hidden="1">#REF!</definedName>
    <definedName name="aex_inp_OON_days_16_curr" hidden="1">#REF!</definedName>
    <definedName name="aex_inp_OON_days_17_curr" hidden="1">#REF!</definedName>
    <definedName name="aex_inp_OON_days_18_curr" hidden="1">#REF!</definedName>
    <definedName name="aex_inp_OON_days_19_curr" hidden="1">#REF!</definedName>
    <definedName name="aex_inp_OON_days_20_curr" hidden="1">#REF!</definedName>
    <definedName name="aex_inp_OON_days_21_curr" hidden="1">#REF!</definedName>
    <definedName name="aex_inp_OON_days_22_curr" hidden="1">#REF!</definedName>
    <definedName name="aex_inp_OON_days_23_curr" hidden="1">#REF!</definedName>
    <definedName name="aex_inp_OON_days_24_curr" hidden="1">#REF!</definedName>
    <definedName name="aex_inp_OON_paid_amt_00_curr" hidden="1">#REF!</definedName>
    <definedName name="aex_inp_OON_paid_amt_01_curr" hidden="1">#REF!</definedName>
    <definedName name="aex_inp_OON_paid_amt_02_curr" hidden="1">#REF!</definedName>
    <definedName name="aex_inp_OON_paid_amt_03_curr" hidden="1">#REF!</definedName>
    <definedName name="aex_inp_OON_paid_amt_04_curr" hidden="1">#REF!</definedName>
    <definedName name="aex_inp_OON_paid_amt_05_curr" hidden="1">#REF!</definedName>
    <definedName name="aex_inp_OON_paid_amt_06_curr" hidden="1">#REF!</definedName>
    <definedName name="aex_inp_OON_paid_amt_07_curr" hidden="1">#REF!</definedName>
    <definedName name="aex_inp_OON_paid_amt_08_curr" hidden="1">#REF!</definedName>
    <definedName name="aex_inp_OON_paid_amt_09_curr" hidden="1">#REF!</definedName>
    <definedName name="aex_inp_OON_paid_amt_10_curr" hidden="1">#REF!</definedName>
    <definedName name="aex_inp_OON_paid_amt_11_curr" hidden="1">#REF!</definedName>
    <definedName name="aex_inp_OON_paid_amt_12_curr" hidden="1">#REF!</definedName>
    <definedName name="aex_inp_OON_paid_amt_13_curr" hidden="1">#REF!</definedName>
    <definedName name="aex_inp_OON_paid_amt_14_curr" hidden="1">#REF!</definedName>
    <definedName name="aex_inp_OON_paid_amt_15_curr" hidden="1">#REF!</definedName>
    <definedName name="aex_inp_OON_paid_amt_16_curr" hidden="1">#REF!</definedName>
    <definedName name="aex_inp_OON_paid_amt_17_curr" hidden="1">#REF!</definedName>
    <definedName name="aex_inp_OON_paid_amt_18_curr" hidden="1">#REF!</definedName>
    <definedName name="aex_inp_OON_paid_amt_19_curr" hidden="1">#REF!</definedName>
    <definedName name="aex_inp_OON_paid_amt_20_curr" hidden="1">#REF!</definedName>
    <definedName name="aex_inp_OON_paid_amt_21_curr" hidden="1">#REF!</definedName>
    <definedName name="aex_inp_OON_paid_amt_22_curr" hidden="1">#REF!</definedName>
    <definedName name="aex_inp_OON_paid_amt_23_curr" hidden="1">#REF!</definedName>
    <definedName name="aex_inp_OON_paid_amt_24_curr" hidden="1">#REF!</definedName>
    <definedName name="aex_inp_Tier1_admits_00_curr" hidden="1">#REF!</definedName>
    <definedName name="aex_inp_Tier1_admits_01_curr" hidden="1">#REF!</definedName>
    <definedName name="aex_inp_Tier1_admits_02_curr" hidden="1">#REF!</definedName>
    <definedName name="aex_inp_Tier1_admits_03_curr" hidden="1">#REF!</definedName>
    <definedName name="aex_inp_Tier1_admits_04_curr" hidden="1">#REF!</definedName>
    <definedName name="aex_inp_Tier1_admits_05_curr" hidden="1">#REF!</definedName>
    <definedName name="aex_inp_Tier1_admits_06_curr" hidden="1">#REF!</definedName>
    <definedName name="aex_inp_Tier1_admits_07_curr" hidden="1">#REF!</definedName>
    <definedName name="aex_inp_Tier1_admits_08_curr" hidden="1">#REF!</definedName>
    <definedName name="aex_inp_Tier1_admits_09_curr" hidden="1">#REF!</definedName>
    <definedName name="aex_inp_Tier1_admits_10_curr" hidden="1">#REF!</definedName>
    <definedName name="aex_inp_Tier1_admits_11_curr" hidden="1">#REF!</definedName>
    <definedName name="aex_inp_Tier1_admits_12_curr" hidden="1">#REF!</definedName>
    <definedName name="aex_inp_Tier1_admits_13_curr" hidden="1">#REF!</definedName>
    <definedName name="aex_inp_Tier1_admits_14_curr" hidden="1">#REF!</definedName>
    <definedName name="aex_inp_Tier1_admits_15_curr" hidden="1">#REF!</definedName>
    <definedName name="aex_inp_Tier1_admits_16_curr" hidden="1">#REF!</definedName>
    <definedName name="aex_inp_Tier1_admits_17_curr" hidden="1">#REF!</definedName>
    <definedName name="aex_inp_Tier1_admits_18_curr" hidden="1">#REF!</definedName>
    <definedName name="aex_inp_Tier1_admits_19_curr" hidden="1">#REF!</definedName>
    <definedName name="aex_inp_Tier1_admits_20_curr" hidden="1">#REF!</definedName>
    <definedName name="aex_inp_Tier1_admits_21_curr" hidden="1">#REF!</definedName>
    <definedName name="aex_inp_Tier1_admits_22_curr" hidden="1">#REF!</definedName>
    <definedName name="aex_inp_Tier1_admits_23_curr" hidden="1">#REF!</definedName>
    <definedName name="aex_inp_Tier1_admits_24_curr" hidden="1">#REF!</definedName>
    <definedName name="aex_inp_Tier1_days_00_curr" hidden="1">#REF!</definedName>
    <definedName name="aex_inp_Tier1_days_01_curr" hidden="1">#REF!</definedName>
    <definedName name="aex_inp_Tier1_days_02_curr" hidden="1">#REF!</definedName>
    <definedName name="aex_inp_Tier1_days_03_curr" hidden="1">#REF!</definedName>
    <definedName name="aex_inp_Tier1_days_04_curr" hidden="1">#REF!</definedName>
    <definedName name="aex_inp_Tier1_days_05_curr" hidden="1">#REF!</definedName>
    <definedName name="aex_inp_Tier1_days_06_curr" hidden="1">#REF!</definedName>
    <definedName name="aex_inp_Tier1_days_07_curr" hidden="1">#REF!</definedName>
    <definedName name="aex_inp_Tier1_days_08_curr" hidden="1">#REF!</definedName>
    <definedName name="aex_inp_Tier1_days_09_curr" hidden="1">#REF!</definedName>
    <definedName name="aex_inp_Tier1_days_10_curr" hidden="1">#REF!</definedName>
    <definedName name="aex_inp_Tier1_days_11_curr" hidden="1">#REF!</definedName>
    <definedName name="aex_inp_Tier1_days_12_curr" hidden="1">#REF!</definedName>
    <definedName name="aex_inp_Tier1_days_13_curr" hidden="1">#REF!</definedName>
    <definedName name="aex_inp_Tier1_days_14_curr" hidden="1">#REF!</definedName>
    <definedName name="aex_inp_Tier1_days_15_curr" hidden="1">#REF!</definedName>
    <definedName name="aex_inp_Tier1_days_16_curr" hidden="1">#REF!</definedName>
    <definedName name="aex_inp_Tier1_days_17_curr" hidden="1">#REF!</definedName>
    <definedName name="aex_inp_Tier1_days_18_curr" hidden="1">#REF!</definedName>
    <definedName name="aex_inp_Tier1_days_19_curr" hidden="1">#REF!</definedName>
    <definedName name="aex_inp_Tier1_days_20_curr" hidden="1">#REF!</definedName>
    <definedName name="aex_inp_Tier1_days_21_curr" hidden="1">#REF!</definedName>
    <definedName name="aex_inp_Tier1_days_22_curr" hidden="1">#REF!</definedName>
    <definedName name="aex_inp_Tier1_days_23_curr" hidden="1">#REF!</definedName>
    <definedName name="aex_inp_Tier1_days_24_curr" hidden="1">#REF!</definedName>
    <definedName name="aex_inp_Tier1_paid_amt_00_curr" hidden="1">#REF!</definedName>
    <definedName name="aex_inp_Tier1_paid_amt_01_curr" hidden="1">#REF!</definedName>
    <definedName name="aex_inp_Tier1_paid_amt_02_curr" hidden="1">#REF!</definedName>
    <definedName name="aex_inp_Tier1_paid_amt_03_curr" hidden="1">#REF!</definedName>
    <definedName name="aex_inp_Tier1_paid_amt_04_curr" hidden="1">#REF!</definedName>
    <definedName name="aex_inp_Tier1_paid_amt_05_curr" hidden="1">#REF!</definedName>
    <definedName name="aex_inp_Tier1_paid_amt_06_curr" hidden="1">#REF!</definedName>
    <definedName name="aex_inp_Tier1_paid_amt_07_curr" hidden="1">#REF!</definedName>
    <definedName name="aex_inp_Tier1_paid_amt_08_curr" hidden="1">#REF!</definedName>
    <definedName name="aex_inp_Tier1_paid_amt_09_curr" hidden="1">#REF!</definedName>
    <definedName name="aex_inp_Tier1_paid_amt_10_curr" hidden="1">#REF!</definedName>
    <definedName name="aex_inp_Tier1_paid_amt_11_curr" hidden="1">#REF!</definedName>
    <definedName name="aex_inp_Tier1_paid_amt_12_curr" hidden="1">#REF!</definedName>
    <definedName name="aex_inp_Tier1_paid_amt_13_curr" hidden="1">#REF!</definedName>
    <definedName name="aex_inp_Tier1_paid_amt_14_curr" hidden="1">#REF!</definedName>
    <definedName name="aex_inp_Tier1_paid_amt_15_curr" hidden="1">#REF!</definedName>
    <definedName name="aex_inp_Tier1_paid_amt_16_curr" hidden="1">#REF!</definedName>
    <definedName name="aex_inp_Tier1_paid_amt_17_curr" hidden="1">#REF!</definedName>
    <definedName name="aex_inp_Tier1_paid_amt_18_curr" hidden="1">#REF!</definedName>
    <definedName name="aex_inp_Tier1_paid_amt_19_curr" hidden="1">#REF!</definedName>
    <definedName name="aex_inp_Tier1_paid_amt_20_curr" hidden="1">#REF!</definedName>
    <definedName name="aex_inp_Tier1_paid_amt_21_curr" hidden="1">#REF!</definedName>
    <definedName name="aex_inp_Tier1_paid_amt_22_curr" hidden="1">#REF!</definedName>
    <definedName name="aex_inp_Tier1_paid_amt_23_curr" hidden="1">#REF!</definedName>
    <definedName name="aex_inp_Tier1_paid_amt_24_curr" hidden="1">#REF!</definedName>
    <definedName name="aex_inp_Tier2_admits_00_curr" hidden="1">#REF!</definedName>
    <definedName name="aex_inp_Tier2_admits_01_curr" hidden="1">#REF!</definedName>
    <definedName name="aex_inp_Tier2_admits_02_curr" hidden="1">#REF!</definedName>
    <definedName name="aex_inp_Tier2_admits_03_curr" hidden="1">#REF!</definedName>
    <definedName name="aex_inp_Tier2_admits_04_curr" hidden="1">#REF!</definedName>
    <definedName name="aex_inp_Tier2_admits_05_curr" hidden="1">#REF!</definedName>
    <definedName name="aex_inp_Tier2_admits_06_curr" hidden="1">#REF!</definedName>
    <definedName name="aex_inp_Tier2_admits_07_curr" hidden="1">#REF!</definedName>
    <definedName name="aex_inp_Tier2_admits_08_curr" hidden="1">#REF!</definedName>
    <definedName name="aex_inp_Tier2_admits_09_curr" hidden="1">#REF!</definedName>
    <definedName name="aex_inp_Tier2_admits_10_curr" hidden="1">#REF!</definedName>
    <definedName name="aex_inp_Tier2_admits_11_curr" hidden="1">#REF!</definedName>
    <definedName name="aex_inp_Tier2_admits_12_curr" hidden="1">#REF!</definedName>
    <definedName name="aex_inp_Tier2_admits_13_curr" hidden="1">#REF!</definedName>
    <definedName name="aex_inp_Tier2_admits_14_curr" hidden="1">#REF!</definedName>
    <definedName name="aex_inp_Tier2_admits_15_curr" hidden="1">#REF!</definedName>
    <definedName name="aex_inp_Tier2_admits_16_curr" hidden="1">#REF!</definedName>
    <definedName name="aex_inp_Tier2_admits_17_curr" hidden="1">#REF!</definedName>
    <definedName name="aex_inp_Tier2_admits_18_curr" hidden="1">#REF!</definedName>
    <definedName name="aex_inp_Tier2_admits_19_curr" hidden="1">#REF!</definedName>
    <definedName name="aex_inp_Tier2_admits_20_curr" hidden="1">#REF!</definedName>
    <definedName name="aex_inp_Tier2_admits_21_curr" hidden="1">#REF!</definedName>
    <definedName name="aex_inp_Tier2_admits_22_curr" hidden="1">#REF!</definedName>
    <definedName name="aex_inp_Tier2_admits_23_curr" hidden="1">#REF!</definedName>
    <definedName name="aex_inp_Tier2_admits_24_curr" hidden="1">#REF!</definedName>
    <definedName name="aex_inp_Tier2_days_00_curr" hidden="1">#REF!</definedName>
    <definedName name="aex_inp_Tier2_days_01_curr" hidden="1">#REF!</definedName>
    <definedName name="aex_inp_Tier2_days_02_curr" hidden="1">#REF!</definedName>
    <definedName name="aex_inp_Tier2_days_03_curr" hidden="1">#REF!</definedName>
    <definedName name="aex_inp_Tier2_days_04_curr" hidden="1">#REF!</definedName>
    <definedName name="aex_inp_Tier2_days_05_curr" hidden="1">#REF!</definedName>
    <definedName name="aex_inp_Tier2_days_06_curr" hidden="1">#REF!</definedName>
    <definedName name="aex_inp_Tier2_days_07_curr" hidden="1">#REF!</definedName>
    <definedName name="aex_inp_Tier2_days_08_curr" hidden="1">#REF!</definedName>
    <definedName name="aex_inp_Tier2_days_09_curr" hidden="1">#REF!</definedName>
    <definedName name="aex_inp_Tier2_days_10_curr" hidden="1">#REF!</definedName>
    <definedName name="aex_inp_Tier2_days_11_curr" hidden="1">#REF!</definedName>
    <definedName name="aex_inp_Tier2_days_12_curr" hidden="1">#REF!</definedName>
    <definedName name="aex_inp_Tier2_days_13_curr" hidden="1">#REF!</definedName>
    <definedName name="aex_inp_Tier2_days_14_curr" hidden="1">#REF!</definedName>
    <definedName name="aex_inp_Tier2_days_15_curr" hidden="1">#REF!</definedName>
    <definedName name="aex_inp_Tier2_days_16_curr" hidden="1">#REF!</definedName>
    <definedName name="aex_inp_Tier2_days_17_curr" hidden="1">#REF!</definedName>
    <definedName name="aex_inp_Tier2_days_18_curr" hidden="1">#REF!</definedName>
    <definedName name="aex_inp_Tier2_days_19_curr" hidden="1">#REF!</definedName>
    <definedName name="aex_inp_Tier2_days_20_curr" hidden="1">#REF!</definedName>
    <definedName name="aex_inp_Tier2_days_21_curr" hidden="1">#REF!</definedName>
    <definedName name="aex_inp_Tier2_days_22_curr" hidden="1">#REF!</definedName>
    <definedName name="aex_inp_Tier2_days_23_curr" hidden="1">#REF!</definedName>
    <definedName name="aex_inp_Tier2_days_24_curr" hidden="1">#REF!</definedName>
    <definedName name="aex_inp_Tier2_paid_amt_00_curr" hidden="1">#REF!</definedName>
    <definedName name="aex_inp_Tier2_paid_amt_01_curr" hidden="1">#REF!</definedName>
    <definedName name="aex_inp_Tier2_paid_amt_02_curr" hidden="1">#REF!</definedName>
    <definedName name="aex_inp_Tier2_paid_amt_03_curr" hidden="1">#REF!</definedName>
    <definedName name="aex_inp_Tier2_paid_amt_04_curr" hidden="1">#REF!</definedName>
    <definedName name="aex_inp_Tier2_paid_amt_05_curr" hidden="1">#REF!</definedName>
    <definedName name="aex_inp_Tier2_paid_amt_06_curr" hidden="1">#REF!</definedName>
    <definedName name="aex_inp_Tier2_paid_amt_07_curr" hidden="1">#REF!</definedName>
    <definedName name="aex_inp_Tier2_paid_amt_08_curr" hidden="1">#REF!</definedName>
    <definedName name="aex_inp_Tier2_paid_amt_09_curr" hidden="1">#REF!</definedName>
    <definedName name="aex_inp_Tier2_paid_amt_10_curr" hidden="1">#REF!</definedName>
    <definedName name="aex_inp_Tier2_paid_amt_11_curr" hidden="1">#REF!</definedName>
    <definedName name="aex_inp_Tier2_paid_amt_12_curr" hidden="1">#REF!</definedName>
    <definedName name="aex_inp_Tier2_paid_amt_13_curr" hidden="1">#REF!</definedName>
    <definedName name="aex_inp_Tier2_paid_amt_14_curr" hidden="1">#REF!</definedName>
    <definedName name="aex_inp_Tier2_paid_amt_15_curr" hidden="1">#REF!</definedName>
    <definedName name="aex_inp_Tier2_paid_amt_16_curr" hidden="1">#REF!</definedName>
    <definedName name="aex_inp_Tier2_paid_amt_17_curr" hidden="1">#REF!</definedName>
    <definedName name="aex_inp_Tier2_paid_amt_18_curr" hidden="1">#REF!</definedName>
    <definedName name="aex_inp_Tier2_paid_amt_19_curr" hidden="1">#REF!</definedName>
    <definedName name="aex_inp_Tier2_paid_amt_20_curr" hidden="1">#REF!</definedName>
    <definedName name="aex_inp_Tier2_paid_amt_21_curr" hidden="1">#REF!</definedName>
    <definedName name="aex_inp_Tier2_paid_amt_22_curr" hidden="1">#REF!</definedName>
    <definedName name="aex_inp_Tier2_paid_amt_23_curr" hidden="1">#REF!</definedName>
    <definedName name="aex_inp_Tier2_paid_amt_24_curr" hidden="1">#REF!</definedName>
    <definedName name="aex_inp_Tier3_admits_00_curr" hidden="1">#REF!</definedName>
    <definedName name="aex_inp_Tier3_admits_01_curr" hidden="1">#REF!</definedName>
    <definedName name="aex_inp_Tier3_admits_02_curr" hidden="1">#REF!</definedName>
    <definedName name="aex_inp_Tier3_admits_03_curr" hidden="1">#REF!</definedName>
    <definedName name="aex_inp_Tier3_admits_04_curr" hidden="1">#REF!</definedName>
    <definedName name="aex_inp_Tier3_admits_05_curr" hidden="1">#REF!</definedName>
    <definedName name="aex_inp_Tier3_admits_06_curr" hidden="1">#REF!</definedName>
    <definedName name="aex_inp_Tier3_admits_07_curr" hidden="1">#REF!</definedName>
    <definedName name="aex_inp_Tier3_admits_08_curr" hidden="1">#REF!</definedName>
    <definedName name="aex_inp_Tier3_admits_09_curr" hidden="1">#REF!</definedName>
    <definedName name="aex_inp_Tier3_admits_10_curr" hidden="1">#REF!</definedName>
    <definedName name="aex_inp_Tier3_admits_11_curr" hidden="1">#REF!</definedName>
    <definedName name="aex_inp_Tier3_admits_12_curr" hidden="1">#REF!</definedName>
    <definedName name="aex_inp_Tier3_admits_13_curr" hidden="1">#REF!</definedName>
    <definedName name="aex_inp_Tier3_admits_14_curr" hidden="1">#REF!</definedName>
    <definedName name="aex_inp_Tier3_admits_15_curr" hidden="1">#REF!</definedName>
    <definedName name="aex_inp_Tier3_admits_16_curr" hidden="1">#REF!</definedName>
    <definedName name="aex_inp_Tier3_admits_17_curr" hidden="1">#REF!</definedName>
    <definedName name="aex_inp_Tier3_admits_18_curr" hidden="1">#REF!</definedName>
    <definedName name="aex_inp_Tier3_admits_19_curr" hidden="1">#REF!</definedName>
    <definedName name="aex_inp_Tier3_admits_20_curr" hidden="1">#REF!</definedName>
    <definedName name="aex_inp_Tier3_admits_21_curr" hidden="1">#REF!</definedName>
    <definedName name="aex_inp_Tier3_admits_22_curr" hidden="1">#REF!</definedName>
    <definedName name="aex_inp_Tier3_admits_23_curr" hidden="1">#REF!</definedName>
    <definedName name="aex_inp_Tier3_admits_24_curr" hidden="1">#REF!</definedName>
    <definedName name="aex_inp_Tier3_days_00_curr" hidden="1">#REF!</definedName>
    <definedName name="aex_inp_Tier3_days_01_curr" hidden="1">#REF!</definedName>
    <definedName name="aex_inp_Tier3_days_02_curr" hidden="1">#REF!</definedName>
    <definedName name="aex_inp_Tier3_days_03_curr" hidden="1">#REF!</definedName>
    <definedName name="aex_inp_Tier3_days_04_curr" hidden="1">#REF!</definedName>
    <definedName name="aex_inp_Tier3_days_05_curr" hidden="1">#REF!</definedName>
    <definedName name="aex_inp_Tier3_days_06_curr" hidden="1">#REF!</definedName>
    <definedName name="aex_inp_Tier3_days_07_curr" hidden="1">#REF!</definedName>
    <definedName name="aex_inp_Tier3_days_08_curr" hidden="1">#REF!</definedName>
    <definedName name="aex_inp_Tier3_days_09_curr" hidden="1">#REF!</definedName>
    <definedName name="aex_inp_Tier3_days_10_curr" hidden="1">#REF!</definedName>
    <definedName name="aex_inp_Tier3_days_11_curr" hidden="1">#REF!</definedName>
    <definedName name="aex_inp_Tier3_days_12_curr" hidden="1">#REF!</definedName>
    <definedName name="aex_inp_Tier3_days_13_curr" hidden="1">#REF!</definedName>
    <definedName name="aex_inp_Tier3_days_14_curr" hidden="1">#REF!</definedName>
    <definedName name="aex_inp_Tier3_days_15_curr" hidden="1">#REF!</definedName>
    <definedName name="aex_inp_Tier3_days_16_curr" hidden="1">#REF!</definedName>
    <definedName name="aex_inp_Tier3_days_17_curr" hidden="1">#REF!</definedName>
    <definedName name="aex_inp_Tier3_days_18_curr" hidden="1">#REF!</definedName>
    <definedName name="aex_inp_Tier3_days_19_curr" hidden="1">#REF!</definedName>
    <definedName name="aex_inp_Tier3_days_20_curr" hidden="1">#REF!</definedName>
    <definedName name="aex_inp_Tier3_days_21_curr" hidden="1">#REF!</definedName>
    <definedName name="aex_inp_Tier3_days_22_curr" hidden="1">#REF!</definedName>
    <definedName name="aex_inp_Tier3_days_23_curr" hidden="1">#REF!</definedName>
    <definedName name="aex_inp_Tier3_days_24_curr" hidden="1">#REF!</definedName>
    <definedName name="aex_inp_Tier3_paid_amt_00_curr" hidden="1">#REF!</definedName>
    <definedName name="aex_inp_Tier3_paid_amt_01_curr" hidden="1">#REF!</definedName>
    <definedName name="aex_inp_Tier3_paid_amt_02_curr" hidden="1">#REF!</definedName>
    <definedName name="aex_inp_Tier3_paid_amt_03_curr" hidden="1">#REF!</definedName>
    <definedName name="aex_inp_Tier3_paid_amt_04_curr" hidden="1">#REF!</definedName>
    <definedName name="aex_inp_Tier3_paid_amt_05_curr" hidden="1">#REF!</definedName>
    <definedName name="aex_inp_Tier3_paid_amt_06_curr" hidden="1">#REF!</definedName>
    <definedName name="aex_inp_Tier3_paid_amt_07_curr" hidden="1">#REF!</definedName>
    <definedName name="aex_inp_Tier3_paid_amt_08_curr" hidden="1">#REF!</definedName>
    <definedName name="aex_inp_Tier3_paid_amt_09_curr" hidden="1">#REF!</definedName>
    <definedName name="aex_inp_Tier3_paid_amt_10_curr" hidden="1">#REF!</definedName>
    <definedName name="aex_inp_Tier3_paid_amt_11_curr" hidden="1">#REF!</definedName>
    <definedName name="aex_inp_Tier3_paid_amt_12_curr" hidden="1">#REF!</definedName>
    <definedName name="aex_inp_Tier3_paid_amt_13_curr" hidden="1">#REF!</definedName>
    <definedName name="aex_inp_Tier3_paid_amt_14_curr" hidden="1">#REF!</definedName>
    <definedName name="aex_inp_Tier3_paid_amt_15_curr" hidden="1">#REF!</definedName>
    <definedName name="aex_inp_Tier3_paid_amt_16_curr" hidden="1">#REF!</definedName>
    <definedName name="aex_inp_Tier3_paid_amt_17_curr" hidden="1">#REF!</definedName>
    <definedName name="aex_inp_Tier3_paid_amt_18_curr" hidden="1">#REF!</definedName>
    <definedName name="aex_inp_Tier3_paid_amt_19_curr" hidden="1">#REF!</definedName>
    <definedName name="aex_inp_Tier3_paid_amt_20_curr" hidden="1">#REF!</definedName>
    <definedName name="aex_inp_Tier3_paid_amt_21_curr" hidden="1">#REF!</definedName>
    <definedName name="aex_inp_Tier3_paid_amt_22_curr" hidden="1">#REF!</definedName>
    <definedName name="aex_inp_Tier3_paid_amt_23_curr" hidden="1">#REF!</definedName>
    <definedName name="aex_inp_Tier3_paid_amt_24_curr" hidden="1">#REF!</definedName>
    <definedName name="Aex_IP_MDC_Range" hidden="1">#REF!</definedName>
    <definedName name="aex_Med_MDC_cd_00_curr" hidden="1">#REF!</definedName>
    <definedName name="aex_Med_MDC_cd_01_curr" hidden="1">#REF!</definedName>
    <definedName name="aex_Med_MDC_cd_02_curr" hidden="1">#REF!</definedName>
    <definedName name="aex_Med_MDC_cd_03_curr" hidden="1">#REF!</definedName>
    <definedName name="aex_Med_MDC_cd_04_curr" hidden="1">#REF!</definedName>
    <definedName name="aex_Med_MDC_cd_05_curr" hidden="1">#REF!</definedName>
    <definedName name="aex_Med_MDC_cd_06_curr" hidden="1">#REF!</definedName>
    <definedName name="aex_Med_MDC_cd_07_curr" hidden="1">#REF!</definedName>
    <definedName name="aex_Med_MDC_cd_08_curr" hidden="1">#REF!</definedName>
    <definedName name="aex_Med_MDC_cd_09_curr" hidden="1">#REF!</definedName>
    <definedName name="aex_Med_MDC_cd_10_curr" hidden="1">#REF!</definedName>
    <definedName name="aex_Med_MDC_cd_11_curr" hidden="1">#REF!</definedName>
    <definedName name="aex_Med_MDC_cd_12_curr" hidden="1">#REF!</definedName>
    <definedName name="aex_Med_MDC_cd_13_curr" hidden="1">#REF!</definedName>
    <definedName name="aex_Med_MDC_cd_14_curr" hidden="1">#REF!</definedName>
    <definedName name="aex_Med_MDC_cd_15_curr" hidden="1">#REF!</definedName>
    <definedName name="aex_Med_MDC_cd_16_curr" hidden="1">#REF!</definedName>
    <definedName name="aex_Med_MDC_cd_17_curr" hidden="1">#REF!</definedName>
    <definedName name="aex_Med_MDC_cd_18_curr" hidden="1">#REF!</definedName>
    <definedName name="aex_Med_MDC_cd_19_curr" hidden="1">#REF!</definedName>
    <definedName name="aex_Med_MDC_cd_20_curr" hidden="1">#REF!</definedName>
    <definedName name="aex_Med_MDC_cd_21_curr" hidden="1">#REF!</definedName>
    <definedName name="aex_Med_MDC_cd_22_curr" hidden="1">#REF!</definedName>
    <definedName name="aex_Med_MDC_cd_23_curr" hidden="1">#REF!</definedName>
    <definedName name="aex_Med_MDC_cd_24_curr" hidden="1">#REF!</definedName>
    <definedName name="Aex_Medical_Cost_Category_Range" hidden="1">#REF!</definedName>
    <definedName name="aex_OOC_Amb_Paid_Amt_curr" hidden="1">#REF!</definedName>
    <definedName name="aex_OOC_Claimants_curr" hidden="1">#REF!</definedName>
    <definedName name="aex_OOC_Inp_Paid_Amt_curr" hidden="1">#REF!</definedName>
    <definedName name="aex_OOC_Paid_Amt_curr" hidden="1">#REF!</definedName>
    <definedName name="aex_OON_paid_amt_amb_surgeries_curr" hidden="1">#REF!</definedName>
    <definedName name="aex_OON_paid_amt_amb_visits_curr" hidden="1">#REF!</definedName>
    <definedName name="aex_OON_paid_amt_er_visits_curr" hidden="1">#REF!</definedName>
    <definedName name="aex_OON_paid_amt_home_health_visits_curr" hidden="1">#REF!</definedName>
    <definedName name="aex_OON_paid_amt_inp_days_curr" hidden="1">#REF!</definedName>
    <definedName name="aex_OON_paid_amt_inp_surgeries_curr" hidden="1">#REF!</definedName>
    <definedName name="aex_OON_paid_amt_lab_services_curr" hidden="1">#REF!</definedName>
    <definedName name="aex_OON_paid_amt_med_rx_curr" hidden="1">#REF!</definedName>
    <definedName name="aex_OON_paid_amt_med_services_visits_curr" hidden="1">#REF!</definedName>
    <definedName name="aex_OON_paid_amt_mental_health_visits_curr" hidden="1">#REF!</definedName>
    <definedName name="aex_OON_paid_amt_misc_med_curr" hidden="1">#REF!</definedName>
    <definedName name="aex_OON_paid_amt_off_surgeries_curr" hidden="1">#REF!</definedName>
    <definedName name="aex_OON_paid_amt_other_spec_off_visits_curr" hidden="1">#REF!</definedName>
    <definedName name="aex_OON_paid_amt_primary_off_visits_curr" hidden="1">#REF!</definedName>
    <definedName name="aex_OON_paid_amt_radiology_services_curr" hidden="1">#REF!</definedName>
    <definedName name="aex_OON_paid_amt_spec_off_visits_curr" hidden="1">#REF!</definedName>
    <definedName name="aex_oon_paid_amt_tot_curr" hidden="1">#REF!</definedName>
    <definedName name="aex_OON_paid_amt_total_curr" hidden="1">#REF!</definedName>
    <definedName name="aex_OON_Util_amb_surgeries_curr" hidden="1">#REF!</definedName>
    <definedName name="aex_OON_Util_amb_visits_curr" hidden="1">#REF!</definedName>
    <definedName name="aex_OON_Util_er_visits_curr" hidden="1">#REF!</definedName>
    <definedName name="aex_OON_Util_home_health_visits_curr" hidden="1">#REF!</definedName>
    <definedName name="aex_OON_Util_inp_days_curr" hidden="1">#REF!</definedName>
    <definedName name="aex_OON_Util_inp_surgeries_curr" hidden="1">#REF!</definedName>
    <definedName name="aex_OON_Util_lab_services_curr" hidden="1">#REF!</definedName>
    <definedName name="aex_OON_Util_med_rx_curr" hidden="1">#REF!</definedName>
    <definedName name="aex_OON_Util_med_services_visits_curr" hidden="1">#REF!</definedName>
    <definedName name="aex_OON_Util_mental_health_visits_curr" hidden="1">#REF!</definedName>
    <definedName name="aex_OON_Util_misc_med_curr" hidden="1">#REF!</definedName>
    <definedName name="aex_OON_Util_off_surgeries_curr" hidden="1">#REF!</definedName>
    <definedName name="aex_OON_Util_other_spec_off_visits_curr" hidden="1">#REF!</definedName>
    <definedName name="aex_OON_Util_primary_off_visits_curr" hidden="1">#REF!</definedName>
    <definedName name="aex_OON_Util_radiology_services_curr" hidden="1">#REF!</definedName>
    <definedName name="aex_OON_Util_spec_off_visits_curr" hidden="1">#REF!</definedName>
    <definedName name="aex_OON_Util_total_curr" hidden="1">#REF!</definedName>
    <definedName name="aex_oon_utlilization_tot_curr" hidden="1">#REF!</definedName>
    <definedName name="Aex_Professional_Experience_Range" hidden="1">#REF!</definedName>
    <definedName name="aex_Tier1_Amb_Paid_Amt_curr" hidden="1">#REF!</definedName>
    <definedName name="aex_Tier1_Claimants_curr" hidden="1">#REF!</definedName>
    <definedName name="aex_Tier1_Inp_Paid_Amt_curr" hidden="1">#REF!</definedName>
    <definedName name="aex_Tier1_paid_amt_amb_surgeries_curr" hidden="1">#REF!</definedName>
    <definedName name="aex_Tier1_paid_amt_amb_visits_curr" hidden="1">#REF!</definedName>
    <definedName name="aex_Tier1_Paid_Amt_curr" hidden="1">#REF!</definedName>
    <definedName name="aex_Tier1_paid_amt_er_visits_curr" hidden="1">#REF!</definedName>
    <definedName name="aex_Tier1_paid_amt_home_health_visits_curr" hidden="1">#REF!</definedName>
    <definedName name="aex_Tier1_paid_amt_inp_days_curr" hidden="1">#REF!</definedName>
    <definedName name="aex_Tier1_paid_amt_inp_surgeries_curr" hidden="1">#REF!</definedName>
    <definedName name="aex_Tier1_paid_amt_lab_services_curr" hidden="1">#REF!</definedName>
    <definedName name="aex_Tier1_paid_amt_med_rx_curr" hidden="1">#REF!</definedName>
    <definedName name="aex_Tier1_paid_amt_med_services_visits_curr" hidden="1">#REF!</definedName>
    <definedName name="aex_Tier1_paid_amt_mental_health_visits_curr" hidden="1">#REF!</definedName>
    <definedName name="aex_Tier1_paid_amt_misc_med_curr" hidden="1">#REF!</definedName>
    <definedName name="aex_Tier1_paid_amt_off_surgeries_curr" hidden="1">#REF!</definedName>
    <definedName name="aex_Tier1_paid_amt_other_spec_off_visits_curr" hidden="1">#REF!</definedName>
    <definedName name="aex_Tier1_paid_amt_primary_off_visits_curr" hidden="1">#REF!</definedName>
    <definedName name="aex_Tier1_paid_amt_radiology_services_curr" hidden="1">#REF!</definedName>
    <definedName name="aex_Tier1_paid_amt_spec_off_visits_curr" hidden="1">#REF!</definedName>
    <definedName name="aex_tier1_paid_amt_tot_curr" hidden="1">#REF!</definedName>
    <definedName name="aex_Tier1_paid_amt_total_curr" hidden="1">#REF!</definedName>
    <definedName name="aex_Tier1_Util_amb_surgeries_curr" hidden="1">#REF!</definedName>
    <definedName name="aex_Tier1_Util_amb_visits_curr" hidden="1">#REF!</definedName>
    <definedName name="aex_Tier1_Util_er_visits_curr" hidden="1">#REF!</definedName>
    <definedName name="aex_Tier1_Util_home_health_visits_curr" hidden="1">#REF!</definedName>
    <definedName name="aex_Tier1_Util_inp_days_curr" hidden="1">#REF!</definedName>
    <definedName name="aex_Tier1_Util_inp_surgeries_curr" hidden="1">#REF!</definedName>
    <definedName name="aex_Tier1_Util_lab_services_curr" hidden="1">#REF!</definedName>
    <definedName name="aex_Tier1_Util_med_rx_curr" hidden="1">#REF!</definedName>
    <definedName name="aex_Tier1_Util_med_services_visits_curr" hidden="1">#REF!</definedName>
    <definedName name="aex_Tier1_Util_mental_health_visits_curr" hidden="1">#REF!</definedName>
    <definedName name="aex_Tier1_Util_misc_med_curr" hidden="1">#REF!</definedName>
    <definedName name="aex_Tier1_Util_off_surgeries_curr" hidden="1">#REF!</definedName>
    <definedName name="aex_Tier1_Util_other_spec_off_visits_curr" hidden="1">#REF!</definedName>
    <definedName name="aex_Tier1_Util_primary_off_visits_curr" hidden="1">#REF!</definedName>
    <definedName name="aex_Tier1_Util_radiology_services_curr" hidden="1">#REF!</definedName>
    <definedName name="aex_Tier1_Util_spec_off_visits_curr" hidden="1">#REF!</definedName>
    <definedName name="aex_Tier1_Util_total_curr" hidden="1">#REF!</definedName>
    <definedName name="aex_tier1_utlilization_tot_curr" hidden="1">#REF!</definedName>
    <definedName name="aex_Tier2_Amb_Paid_Amt_curr" hidden="1">#REF!</definedName>
    <definedName name="aex_Tier2_Claimants_curr" hidden="1">#REF!</definedName>
    <definedName name="aex_Tier2_Inp_Paid_Amt_curr" hidden="1">#REF!</definedName>
    <definedName name="aex_Tier2_paid_amt_amb_surgeries_curr" hidden="1">#REF!</definedName>
    <definedName name="aex_Tier2_paid_amt_amb_visits_curr" hidden="1">#REF!</definedName>
    <definedName name="aex_Tier2_Paid_Amt_curr" hidden="1">#REF!</definedName>
    <definedName name="aex_Tier2_paid_amt_er_visits_curr" hidden="1">#REF!</definedName>
    <definedName name="aex_Tier2_paid_amt_home_health_visits_curr" hidden="1">#REF!</definedName>
    <definedName name="aex_Tier2_paid_amt_inp_days_curr" hidden="1">#REF!</definedName>
    <definedName name="aex_Tier2_paid_amt_inp_surgeries_curr" hidden="1">#REF!</definedName>
    <definedName name="aex_Tier2_paid_amt_lab_services_curr" hidden="1">#REF!</definedName>
    <definedName name="aex_Tier2_paid_amt_med_rx_curr" hidden="1">#REF!</definedName>
    <definedName name="aex_Tier2_paid_amt_med_services_visits_curr" hidden="1">#REF!</definedName>
    <definedName name="aex_Tier2_paid_amt_mental_health_visits_curr" hidden="1">#REF!</definedName>
    <definedName name="aex_Tier2_paid_amt_misc_med_curr" hidden="1">#REF!</definedName>
    <definedName name="aex_Tier2_paid_amt_off_surgeries_curr" hidden="1">#REF!</definedName>
    <definedName name="aex_Tier2_paid_amt_other_spec_off_visits_curr" hidden="1">#REF!</definedName>
    <definedName name="aex_Tier2_paid_amt_primary_off_visits_curr" hidden="1">#REF!</definedName>
    <definedName name="aex_Tier2_paid_amt_radiology_services_curr" hidden="1">#REF!</definedName>
    <definedName name="aex_Tier2_paid_amt_spec_off_visits_curr" hidden="1">#REF!</definedName>
    <definedName name="aex_tier2_paid_amt_tot_curr" hidden="1">#REF!</definedName>
    <definedName name="aex_Tier2_paid_amt_total_curr" hidden="1">#REF!</definedName>
    <definedName name="aex_Tier2_Util_amb_surgeries_curr" hidden="1">#REF!</definedName>
    <definedName name="aex_Tier2_Util_amb_visits_curr" hidden="1">#REF!</definedName>
    <definedName name="aex_Tier2_Util_er_visits_curr" hidden="1">#REF!</definedName>
    <definedName name="aex_Tier2_Util_home_health_visits_curr" hidden="1">#REF!</definedName>
    <definedName name="aex_Tier2_Util_inp_days_curr" hidden="1">#REF!</definedName>
    <definedName name="aex_Tier2_Util_inp_surgeries_curr" hidden="1">#REF!</definedName>
    <definedName name="aex_Tier2_Util_lab_services_curr" hidden="1">#REF!</definedName>
    <definedName name="aex_Tier2_Util_med_rx_curr" hidden="1">#REF!</definedName>
    <definedName name="aex_Tier2_Util_med_services_visits_curr" hidden="1">#REF!</definedName>
    <definedName name="aex_Tier2_Util_mental_health_visits_curr" hidden="1">#REF!</definedName>
    <definedName name="aex_Tier2_Util_misc_med_curr" hidden="1">#REF!</definedName>
    <definedName name="aex_Tier2_Util_off_surgeries_curr" hidden="1">#REF!</definedName>
    <definedName name="aex_Tier2_Util_other_spec_off_visits_curr" hidden="1">#REF!</definedName>
    <definedName name="aex_Tier2_Util_primary_off_visits_curr" hidden="1">#REF!</definedName>
    <definedName name="aex_Tier2_Util_radiology_services_curr" hidden="1">#REF!</definedName>
    <definedName name="aex_Tier2_Util_spec_off_visits_curr" hidden="1">#REF!</definedName>
    <definedName name="aex_Tier2_Util_total_curr" hidden="1">#REF!</definedName>
    <definedName name="aex_tier2_utlilization_tot_curr" hidden="1">#REF!</definedName>
    <definedName name="aex_Tier3_Amb_Paid_Amt_curr" hidden="1">#REF!</definedName>
    <definedName name="aex_Tier3_Claimants_curr" hidden="1">#REF!</definedName>
    <definedName name="aex_Tier3_Inp_Paid_Amt_curr" hidden="1">#REF!</definedName>
    <definedName name="aex_Tier3_paid_amt_amb_surgeries_curr" hidden="1">#REF!</definedName>
    <definedName name="aex_Tier3_paid_amt_amb_visits_curr" hidden="1">#REF!</definedName>
    <definedName name="aex_Tier3_Paid_Amt_curr" hidden="1">#REF!</definedName>
    <definedName name="aex_Tier3_paid_amt_er_visits_curr" hidden="1">#REF!</definedName>
    <definedName name="aex_Tier3_paid_amt_home_health_visits_curr" hidden="1">#REF!</definedName>
    <definedName name="aex_Tier3_paid_amt_inp_days_curr" hidden="1">#REF!</definedName>
    <definedName name="aex_Tier3_paid_amt_inp_surgeries_curr" hidden="1">#REF!</definedName>
    <definedName name="aex_Tier3_paid_amt_lab_services_curr" hidden="1">#REF!</definedName>
    <definedName name="aex_Tier3_paid_amt_med_rx_curr" hidden="1">#REF!</definedName>
    <definedName name="aex_Tier3_paid_amt_med_services_visits_curr" hidden="1">#REF!</definedName>
    <definedName name="aex_Tier3_paid_amt_mental_health_visits_curr" hidden="1">#REF!</definedName>
    <definedName name="aex_Tier3_paid_amt_misc_med_curr" hidden="1">#REF!</definedName>
    <definedName name="aex_Tier3_paid_amt_off_surgeries_curr" hidden="1">#REF!</definedName>
    <definedName name="aex_Tier3_paid_amt_other_spec_off_visits_curr" hidden="1">#REF!</definedName>
    <definedName name="aex_Tier3_paid_amt_primary_off_visits_curr" hidden="1">#REF!</definedName>
    <definedName name="aex_Tier3_paid_amt_radiology_services_curr" hidden="1">#REF!</definedName>
    <definedName name="aex_Tier3_paid_amt_spec_off_visits_curr" hidden="1">#REF!</definedName>
    <definedName name="aex_tier3_paid_amt_tot_curr" hidden="1">#REF!</definedName>
    <definedName name="aex_Tier3_paid_amt_total_curr" hidden="1">#REF!</definedName>
    <definedName name="aex_Tier3_Util_amb_surgeries_curr" hidden="1">#REF!</definedName>
    <definedName name="aex_Tier3_Util_amb_visits_curr" hidden="1">#REF!</definedName>
    <definedName name="aex_Tier3_Util_er_visits_curr" hidden="1">#REF!</definedName>
    <definedName name="aex_Tier3_Util_home_health_visits_curr" hidden="1">#REF!</definedName>
    <definedName name="aex_Tier3_Util_inp_days_curr" hidden="1">#REF!</definedName>
    <definedName name="aex_Tier3_Util_inp_surgeries_curr" hidden="1">#REF!</definedName>
    <definedName name="aex_Tier3_Util_lab_services_curr" hidden="1">#REF!</definedName>
    <definedName name="aex_Tier3_Util_med_rx_curr" hidden="1">#REF!</definedName>
    <definedName name="aex_Tier3_Util_med_services_visits_curr" hidden="1">#REF!</definedName>
    <definedName name="aex_Tier3_Util_mental_health_visits_curr" hidden="1">#REF!</definedName>
    <definedName name="aex_Tier3_Util_misc_med_curr" hidden="1">#REF!</definedName>
    <definedName name="aex_Tier3_Util_off_surgeries_curr" hidden="1">#REF!</definedName>
    <definedName name="aex_Tier3_Util_other_spec_off_visits_curr" hidden="1">#REF!</definedName>
    <definedName name="aex_Tier3_Util_primary_off_visits_curr" hidden="1">#REF!</definedName>
    <definedName name="aex_Tier3_Util_radiology_services_curr" hidden="1">#REF!</definedName>
    <definedName name="aex_Tier3_Util_spec_off_visits_curr" hidden="1">#REF!</definedName>
    <definedName name="aex_Tier3_Util_total_curr" hidden="1">#REF!</definedName>
    <definedName name="aex_tier3_utlilization_tot_curr" hidden="1">#REF!</definedName>
    <definedName name="aex_TOT_Amb_Paid_Amt_curr" hidden="1">#REF!</definedName>
    <definedName name="aex_TOT_Claimants_curr" hidden="1">#REF!</definedName>
    <definedName name="aex_TOT_Inp_Paid_Amt_curr" hidden="1">#REF!</definedName>
    <definedName name="aex_TOT_Paid_Amt_curr" hidden="1">#REF!</definedName>
    <definedName name="Aexcel_Demographic_Line_Count" hidden="1">#REF!</definedName>
    <definedName name="Aexcel_Demographics_Headings1" hidden="1">#REF!</definedName>
    <definedName name="Aexcel_Demographics_Headings2" hidden="1">#REF!</definedName>
    <definedName name="Aexcel_Prof_Cost_Line_Count" hidden="1">#REF!</definedName>
    <definedName name="Aexcel_Prof_Exp_Cost_Headings" hidden="1">#REF!</definedName>
    <definedName name="Aexcel_Prof_Exp_Location_Headings" hidden="1">#REF!</definedName>
    <definedName name="Aexcel_Prof_Exp_PMPM_Headings" hidden="1">#REF!</definedName>
    <definedName name="Aexcel_Prof_Exp_Util_Headings" hidden="1">#REF!</definedName>
    <definedName name="Aexcel_Prof_Location_Line_Count" hidden="1">#REF!</definedName>
    <definedName name="Aexcel_Prof_PMPM_Line_Count" hidden="1">#REF!</definedName>
    <definedName name="Aexcel_Prof_Util_Line_Count" hidden="1">#REF!</definedName>
    <definedName name="Aexcel_Structure_Headings" hidden="1">#REF!</definedName>
    <definedName name="Aexcel_Structure_Line_Count" hidden="1">#REF!</definedName>
    <definedName name="AexcelBOBDate" hidden="1">#REF!</definedName>
    <definedName name="AF">#N/A</definedName>
    <definedName name="AgeSexFactors">#REF!</definedName>
    <definedName name="AGGREG" localSheetId="0">#REF!</definedName>
    <definedName name="AGGREG" localSheetId="3">#REF!</definedName>
    <definedName name="AGGREG" localSheetId="2">#REF!</definedName>
    <definedName name="AGGREG" localSheetId="1">#REF!</definedName>
    <definedName name="AGGREG" localSheetId="4">#REF!</definedName>
    <definedName name="AGGREG" localSheetId="5">#REF!</definedName>
    <definedName name="AGGREG" localSheetId="7">#REF!</definedName>
    <definedName name="AGGREG" localSheetId="6">#REF!</definedName>
    <definedName name="AGGREG">#REF!</definedName>
    <definedName name="ahf_act_emp_fund_paid_curr" hidden="1">#REF!</definedName>
    <definedName name="ahf_act_emp_plus_1_fund_paid_curr" hidden="1">#REF!</definedName>
    <definedName name="ahf_act_emp_plus_2_fund_paid_curr" hidden="1">#REF!</definedName>
    <definedName name="ahf_act_emp_plus_fam_fund_paid_curr" hidden="1">#REF!</definedName>
    <definedName name="ahf_act_total_fund_paid_curr" hidden="1">#REF!</definedName>
    <definedName name="AHF_Activity_By_Tier_Range" hidden="1">#REF!</definedName>
    <definedName name="AHF_Activity_Detail_Range" hidden="1">#REF!</definedName>
    <definedName name="ahf_ahf_paid_amt_female_0_19_curr" hidden="1">#REF!</definedName>
    <definedName name="ahf_ahf_paid_amt_female_20_44_curr" hidden="1">#REF!</definedName>
    <definedName name="ahf_ahf_paid_amt_female_45_64_curr" hidden="1">#REF!</definedName>
    <definedName name="ahf_ahf_paid_amt_female_65_over_curr" hidden="1">#REF!</definedName>
    <definedName name="ahf_ahf_paid_amt_male_0_19_curr" hidden="1">#REF!</definedName>
    <definedName name="ahf_ahf_paid_amt_male_20_44_curr" hidden="1">#REF!</definedName>
    <definedName name="ahf_ahf_paid_amt_male_45_64_curr" hidden="1">#REF!</definedName>
    <definedName name="ahf_ahf_paid_amt_male_65_over_curr" hidden="1">#REF!</definedName>
    <definedName name="ahf_ahf_paid_amt_total_0_19_curr" hidden="1">#REF!</definedName>
    <definedName name="ahf_ahf_paid_amt_total_curr" hidden="1">#REF!</definedName>
    <definedName name="ahf_ahf_paid_amt_total_prior" hidden="1">#REF!</definedName>
    <definedName name="ahf_ahf_paid_amt_unknown_0_19_curr" hidden="1">#REF!</definedName>
    <definedName name="ahf_ahf_paid_amt_unknown_20_44_curr" hidden="1">#REF!</definedName>
    <definedName name="ahf_ahf_paid_amt_unknown_45_64_curr" hidden="1">#REF!</definedName>
    <definedName name="ahf_ahf_paid_amt_unknown_65_over_curr" hidden="1">#REF!</definedName>
    <definedName name="ahf_bnft_plan_paid_amt_female_0_19_curr" hidden="1">#REF!</definedName>
    <definedName name="ahf_bnft_plan_paid_amt_female_20_44_curr" hidden="1">#REF!</definedName>
    <definedName name="ahf_bnft_plan_paid_amt_female_45_64_curr" hidden="1">#REF!</definedName>
    <definedName name="ahf_bnft_plan_paid_amt_female_65_over_curr" hidden="1">#REF!</definedName>
    <definedName name="ahf_bnft_plan_paid_amt_male_0_19_curr" hidden="1">#REF!</definedName>
    <definedName name="ahf_bnft_plan_paid_amt_male_20_44_curr" hidden="1">#REF!</definedName>
    <definedName name="ahf_bnft_plan_paid_amt_male_45_64_curr" hidden="1">#REF!</definedName>
    <definedName name="ahf_bnft_plan_paid_amt_male_65_over_curr" hidden="1">#REF!</definedName>
    <definedName name="ahf_bnft_plan_paid_amt_total_0_19_curr" hidden="1">#REF!</definedName>
    <definedName name="ahf_bnft_plan_paid_amt_total_curr" hidden="1">#REF!</definedName>
    <definedName name="ahf_bnft_plan_paid_amt_total_prior" hidden="1">#REF!</definedName>
    <definedName name="ahf_bnft_plan_paid_amt_unknown_0_19_curr" hidden="1">#REF!</definedName>
    <definedName name="ahf_bnft_plan_paid_amt_unknown_20_44_curr" hidden="1">#REF!</definedName>
    <definedName name="ahf_bnft_plan_paid_amt_unknown_45_64_curr" hidden="1">#REF!</definedName>
    <definedName name="ahf_bnft_plan_paid_amt_unknown_65_over_curr" hidden="1">#REF!</definedName>
    <definedName name="ahf_calc_ing_cost_amt_female_0_19_curr" hidden="1">#REF!</definedName>
    <definedName name="ahf_calc_ing_cost_amt_female_20_44_curr" hidden="1">#REF!</definedName>
    <definedName name="ahf_calc_ing_cost_amt_female_45_64_curr" hidden="1">#REF!</definedName>
    <definedName name="ahf_calc_ing_cost_amt_female_65_over_curr" hidden="1">#REF!</definedName>
    <definedName name="ahf_calc_ing_cost_amt_male_0_19_curr" hidden="1">#REF!</definedName>
    <definedName name="ahf_calc_ing_cost_amt_male_20_44_curr" hidden="1">#REF!</definedName>
    <definedName name="ahf_calc_ing_cost_amt_male_45_64_curr" hidden="1">#REF!</definedName>
    <definedName name="ahf_calc_ing_cost_amt_male_65_over_curr" hidden="1">#REF!</definedName>
    <definedName name="ahf_calc_ing_cost_amt_total_0_19_curr" hidden="1">#REF!</definedName>
    <definedName name="ahf_calc_ing_cost_amt_total_curr" hidden="1">#REF!</definedName>
    <definedName name="ahf_calc_ing_cost_amt_total_prior" hidden="1">#REF!</definedName>
    <definedName name="ahf_calc_ing_cost_amt_unknown_0_19_curr" hidden="1">#REF!</definedName>
    <definedName name="ahf_calc_ing_cost_amt_unknown_20_44_curr" hidden="1">#REF!</definedName>
    <definedName name="ahf_calc_ing_cost_amt_unknown_45_64_curr" hidden="1">#REF!</definedName>
    <definedName name="ahf_calc_ing_cost_amt_unknown_65_over_curr" hidden="1">#REF!</definedName>
    <definedName name="ahf_dental_expenses_curr" hidden="1">#REF!</definedName>
    <definedName name="AHF_Fund_Report_Range" hidden="1">#REF!</definedName>
    <definedName name="AHF_Med_admit_count_curr" hidden="1">#REF!</definedName>
    <definedName name="AHF_Med_admit_count_prior" hidden="1">#REF!</definedName>
    <definedName name="AHF_Med_allowed_amt_female_0_19_curr" hidden="1">#REF!</definedName>
    <definedName name="AHF_Med_allowed_amt_female_0_19_prior" hidden="1">#REF!</definedName>
    <definedName name="AHF_Med_allowed_amt_female_20_44_curr" hidden="1">#REF!</definedName>
    <definedName name="AHF_Med_allowed_amt_female_45_64_curr" hidden="1">#REF!</definedName>
    <definedName name="AHF_Med_allowed_amt_female_65_over_curr" hidden="1">#REF!</definedName>
    <definedName name="AHF_Med_allowed_amt_male_0_19_curr" hidden="1">#REF!</definedName>
    <definedName name="AHF_Med_allowed_amt_male_20_44_curr" hidden="1">#REF!</definedName>
    <definedName name="AHF_Med_allowed_amt_male_45_64_curr" hidden="1">#REF!</definedName>
    <definedName name="AHF_Med_allowed_amt_male_65_over_curr" hidden="1">#REF!</definedName>
    <definedName name="AHF_Med_allowed_amt_total_curr" hidden="1">#REF!</definedName>
    <definedName name="AHF_Med_allowed_amt_total_prior" hidden="1">#REF!</definedName>
    <definedName name="AHF_Med_allowed_amt_unknown_0_19_curr" hidden="1">#REF!</definedName>
    <definedName name="AHF_Med_allowed_amt_unknown_20_44_curr" hidden="1">#REF!</definedName>
    <definedName name="AHF_Med_allowed_amt_unknown_45_64_curr" hidden="1">#REF!</definedName>
    <definedName name="AHF_Med_allowed_amt_unknown_65_over_curr" hidden="1">#REF!</definedName>
    <definedName name="AHF_Med_amb_paid_amt_curr" hidden="1">#REF!</definedName>
    <definedName name="AHF_Med_amb_paid_amt_prior" hidden="1">#REF!</definedName>
    <definedName name="AHF_Med_amb_surgery_count_curr" hidden="1">#REF!</definedName>
    <definedName name="AHF_Med_amb_surgery_count_prior" hidden="1">#REF!</definedName>
    <definedName name="AHF_Med_avg_age_members_curr" hidden="1">#REF!</definedName>
    <definedName name="AHF_Med_avg_age_members_prior" hidden="1">#REF!</definedName>
    <definedName name="AHF_Med_claim_count_female_0_19_curr" hidden="1">#REF!</definedName>
    <definedName name="AHF_Med_claim_count_female_0_19_prior" hidden="1">#REF!</definedName>
    <definedName name="AHF_Med_claim_count_female_20_44_curr" hidden="1">#REF!</definedName>
    <definedName name="AHF_Med_claim_count_female_45_64_curr" hidden="1">#REF!</definedName>
    <definedName name="AHF_Med_claim_count_female_65_over_curr" hidden="1">#REF!</definedName>
    <definedName name="AHF_Med_claim_count_male_0_19_curr" hidden="1">#REF!</definedName>
    <definedName name="AHF_Med_claim_count_male_20_44_curr" hidden="1">#REF!</definedName>
    <definedName name="AHF_Med_claim_count_male_45_64_curr" hidden="1">#REF!</definedName>
    <definedName name="AHF_Med_claim_count_male_65_over_curr" hidden="1">#REF!</definedName>
    <definedName name="AHF_Med_claim_count_total_curr" hidden="1">#REF!</definedName>
    <definedName name="AHF_Med_claim_count_total_prior" hidden="1">#REF!</definedName>
    <definedName name="AHF_Med_claim_count_unknown_0_19_curr" hidden="1">#REF!</definedName>
    <definedName name="AHF_Med_claim_count_unknown_20_44_curr" hidden="1">#REF!</definedName>
    <definedName name="AHF_Med_claim_count_unknown_45_64_curr" hidden="1">#REF!</definedName>
    <definedName name="AHF_Med_claim_count_unknown_65_over_curr" hidden="1">#REF!</definedName>
    <definedName name="AHF_Med_count_amb_curr" hidden="1">#REF!</definedName>
    <definedName name="AHF_Med_count_er_curr" hidden="1">#REF!</definedName>
    <definedName name="AHF_Med_count_home_health_curr" hidden="1">#REF!</definedName>
    <definedName name="AHF_Med_count_inp_curr" hidden="1">#REF!</definedName>
    <definedName name="AHF_Med_count_lab_curr" hidden="1">#REF!</definedName>
    <definedName name="AHF_Med_count_medical_misc_curr" hidden="1">#REF!</definedName>
    <definedName name="AHF_Med_count_medical_rx_curr" hidden="1">#REF!</definedName>
    <definedName name="AHF_Med_count_mental_health_curr" hidden="1">#REF!</definedName>
    <definedName name="AHF_Med_count_prim_phys_curr" hidden="1">#REF!</definedName>
    <definedName name="AHF_Med_count_rad_curr" hidden="1">#REF!</definedName>
    <definedName name="AHF_Med_count_spec_phys_curr" hidden="1">#REF!</definedName>
    <definedName name="AHF_Med_count_total_curr" hidden="1">#REF!</definedName>
    <definedName name="AHF_Med_count_total_mcc_curr" hidden="1">#REF!</definedName>
    <definedName name="AHF_Med_days_count_curr" hidden="1">#REF!</definedName>
    <definedName name="AHF_Med_days_count_prior" hidden="1">#REF!</definedName>
    <definedName name="AHF_Med_emp_paid_amt_female_0_19_curr" hidden="1">#REF!</definedName>
    <definedName name="AHF_Med_emp_paid_amt_female_0_19_prior" hidden="1">#REF!</definedName>
    <definedName name="AHF_Med_emp_paid_amt_female_20_44_curr" hidden="1">#REF!</definedName>
    <definedName name="AHF_Med_emp_paid_amt_female_45_64_curr" hidden="1">#REF!</definedName>
    <definedName name="AHF_Med_emp_paid_amt_female_65_over_curr" hidden="1">#REF!</definedName>
    <definedName name="AHF_Med_emp_paid_amt_male_0_19_curr" hidden="1">#REF!</definedName>
    <definedName name="AHF_Med_emp_paid_amt_male_20_44_curr" hidden="1">#REF!</definedName>
    <definedName name="AHF_Med_emp_paid_amt_male_45_64_curr" hidden="1">#REF!</definedName>
    <definedName name="AHF_Med_emp_paid_amt_male_65_over_curr" hidden="1">#REF!</definedName>
    <definedName name="AHF_Med_emp_paid_amt_total_curr" hidden="1">#REF!</definedName>
    <definedName name="AHF_Med_emp_paid_amt_total_prior" hidden="1">#REF!</definedName>
    <definedName name="AHF_Med_emp_paid_amt_unknown_0_19_curr" hidden="1">#REF!</definedName>
    <definedName name="AHF_Med_emp_paid_amt_unknown_20_44_curr" hidden="1">#REF!</definedName>
    <definedName name="AHF_Med_emp_paid_amt_unknown_45_64_curr" hidden="1">#REF!</definedName>
    <definedName name="AHF_Med_emp_paid_amt_unknown_65_over_curr" hidden="1">#REF!</definedName>
    <definedName name="AHF_Med_er_visits_count_curr" hidden="1">#REF!</definedName>
    <definedName name="AHF_Med_er_visits_count_prior" hidden="1">#REF!</definedName>
    <definedName name="AHF_Med_female_mem_0_19_curr" hidden="1">#REF!</definedName>
    <definedName name="AHF_Med_female_mem_0_19_prior" hidden="1">#REF!</definedName>
    <definedName name="AHF_Med_female_mem_20_44_curr" hidden="1">#REF!</definedName>
    <definedName name="AHF_Med_female_mem_20_44_prior" hidden="1">#REF!</definedName>
    <definedName name="AHF_Med_female_mem_45_64_curr" hidden="1">#REF!</definedName>
    <definedName name="AHF_Med_female_mem_45_64_prior" hidden="1">#REF!</definedName>
    <definedName name="AHF_Med_female_mem_65_over_curr" hidden="1">#REF!</definedName>
    <definedName name="AHF_Med_female_mem_65_over_prior" hidden="1">#REF!</definedName>
    <definedName name="AHF_Med_female_members_curr" hidden="1">#REF!</definedName>
    <definedName name="AHF_Med_female_members_prior" hidden="1">#REF!</definedName>
    <definedName name="AHF_Med_fund_in_network_paid_amt_curr" hidden="1">#REF!</definedName>
    <definedName name="AHF_Med_fund_in_network_paid_amt_prior" hidden="1">#REF!</definedName>
    <definedName name="AHF_Med_fund_paid_amt_amb_curr" hidden="1">#REF!</definedName>
    <definedName name="AHF_Med_fund_paid_amt_curr" hidden="1">#REF!</definedName>
    <definedName name="AHF_Med_fund_paid_amt_er_curr" hidden="1">#REF!</definedName>
    <definedName name="AHF_Med_fund_paid_amt_female_0_19_curr" hidden="1">#REF!</definedName>
    <definedName name="AHF_Med_fund_paid_amt_female_0_19_prior" hidden="1">#REF!</definedName>
    <definedName name="AHF_Med_fund_paid_amt_female_20_44_curr" hidden="1">#REF!</definedName>
    <definedName name="AHF_Med_fund_paid_amt_female_45_64_curr" hidden="1">#REF!</definedName>
    <definedName name="AHF_Med_fund_paid_amt_female_65_over_curr" hidden="1">#REF!</definedName>
    <definedName name="AHF_Med_fund_paid_amt_home_health_curr" hidden="1">#REF!</definedName>
    <definedName name="AHF_Med_fund_paid_amt_inp_curr" hidden="1">#REF!</definedName>
    <definedName name="AHF_Med_fund_paid_amt_lab_curr" hidden="1">#REF!</definedName>
    <definedName name="AHF_Med_fund_paid_amt_male_0_19_curr" hidden="1">#REF!</definedName>
    <definedName name="AHF_Med_fund_paid_amt_male_20_44_curr" hidden="1">#REF!</definedName>
    <definedName name="AHF_Med_fund_paid_amt_male_45_64_curr" hidden="1">#REF!</definedName>
    <definedName name="AHF_Med_fund_paid_amt_male_65_over_curr" hidden="1">#REF!</definedName>
    <definedName name="AHF_Med_fund_paid_amt_medical_misc_curr" hidden="1">#REF!</definedName>
    <definedName name="AHF_Med_fund_paid_amt_medical_rx_curr" hidden="1">#REF!</definedName>
    <definedName name="AHF_Med_fund_paid_amt_mental_health_curr" hidden="1">#REF!</definedName>
    <definedName name="AHF_Med_fund_paid_amt_prim_phys_curr" hidden="1">#REF!</definedName>
    <definedName name="AHF_Med_fund_paid_amt_prior" hidden="1">#REF!</definedName>
    <definedName name="AHF_Med_fund_paid_amt_rad_curr" hidden="1">#REF!</definedName>
    <definedName name="AHF_Med_fund_paid_amt_spec_phys_curr" hidden="1">#REF!</definedName>
    <definedName name="AHF_Med_fund_paid_amt_total_curr" hidden="1">#REF!</definedName>
    <definedName name="AHF_Med_fund_paid_amt_total_mcc_curr" hidden="1">#REF!</definedName>
    <definedName name="AHF_Med_fund_paid_amt_total_prior" hidden="1">#REF!</definedName>
    <definedName name="AHF_Med_fund_paid_amt_unknown_0_19_curr" hidden="1">#REF!</definedName>
    <definedName name="AHF_Med_fund_paid_amt_unknown_20_44_curr" hidden="1">#REF!</definedName>
    <definedName name="AHF_Med_fund_paid_amt_unknown_45_64_curr" hidden="1">#REF!</definedName>
    <definedName name="AHF_Med_fund_paid_amt_unknown_65_over_curr" hidden="1">#REF!</definedName>
    <definedName name="AHF_Med_in_network_paid_amt_curr" hidden="1">#REF!</definedName>
    <definedName name="AHF_Med_in_network_paid_amt_prior" hidden="1">#REF!</definedName>
    <definedName name="AHF_Med_inp_paid_amt_curr" hidden="1">#REF!</definedName>
    <definedName name="AHF_Med_inp_paid_amt_prior" hidden="1">#REF!</definedName>
    <definedName name="AHF_Med_inp_surgery_count_curr" hidden="1">#REF!</definedName>
    <definedName name="AHF_Med_inp_surgery_count_prior" hidden="1">#REF!</definedName>
    <definedName name="AHF_Med_male_mem_0_19_curr" hidden="1">#REF!</definedName>
    <definedName name="AHF_Med_male_mem_0_19_prior" hidden="1">#REF!</definedName>
    <definedName name="AHF_Med_male_mem_20_44_curr" hidden="1">#REF!</definedName>
    <definedName name="AHF_Med_male_mem_20_44_prior" hidden="1">#REF!</definedName>
    <definedName name="AHF_Med_male_mem_45_64_curr" hidden="1">#REF!</definedName>
    <definedName name="AHF_Med_male_mem_45_64_prior" hidden="1">#REF!</definedName>
    <definedName name="AHF_Med_male_mem_65_over_curr" hidden="1">#REF!</definedName>
    <definedName name="AHF_Med_male_mem_65_over_prior" hidden="1">#REF!</definedName>
    <definedName name="AHF_Med_male_members_curr" hidden="1">#REF!</definedName>
    <definedName name="AHF_Med_male_members_prior" hidden="1">#REF!</definedName>
    <definedName name="AHF_Med_months_curr" hidden="1">#REF!</definedName>
    <definedName name="AHF_Med_months_prior" hidden="1">#REF!</definedName>
    <definedName name="AHF_Med_num_employees_curr" hidden="1">#REF!</definedName>
    <definedName name="AHF_Med_num_employees_prior" hidden="1">#REF!</definedName>
    <definedName name="AHF_Med_num_members_curr" hidden="1">#REF!</definedName>
    <definedName name="AHF_Med_num_members_prior" hidden="1">#REF!</definedName>
    <definedName name="AHF_Med_office_visits_count_curr" hidden="1">#REF!</definedName>
    <definedName name="AHF_Med_office_visits_count_prior" hidden="1">#REF!</definedName>
    <definedName name="AHF_Med_paid_amt_amb_curr" hidden="1">#REF!</definedName>
    <definedName name="AHF_Med_paid_amt_curr" hidden="1">#REF!</definedName>
    <definedName name="AHF_Med_paid_amt_er_curr" hidden="1">#REF!</definedName>
    <definedName name="AHF_Med_paid_amt_female_0_19_curr" hidden="1">#REF!</definedName>
    <definedName name="AHF_Med_paid_amt_female_0_19_prior" hidden="1">#REF!</definedName>
    <definedName name="AHF_Med_paid_amt_female_20_44_curr" hidden="1">#REF!</definedName>
    <definedName name="AHF_Med_paid_amt_female_45_64_curr" hidden="1">#REF!</definedName>
    <definedName name="AHF_Med_paid_amt_female_65_over_curr" hidden="1">#REF!</definedName>
    <definedName name="AHF_Med_paid_amt_home_health_curr" hidden="1">#REF!</definedName>
    <definedName name="AHF_Med_paid_amt_inp_curr" hidden="1">#REF!</definedName>
    <definedName name="AHF_Med_paid_amt_lab_curr" hidden="1">#REF!</definedName>
    <definedName name="AHF_Med_paid_amt_male_0_19_curr" hidden="1">#REF!</definedName>
    <definedName name="AHF_Med_paid_amt_male_20_44_curr" hidden="1">#REF!</definedName>
    <definedName name="AHF_Med_paid_amt_male_45_64_curr" hidden="1">#REF!</definedName>
    <definedName name="AHF_Med_paid_amt_male_65_over_curr" hidden="1">#REF!</definedName>
    <definedName name="AHF_Med_paid_amt_medical_misc_curr" hidden="1">#REF!</definedName>
    <definedName name="AHF_Med_paid_amt_medical_rx_curr" hidden="1">#REF!</definedName>
    <definedName name="AHF_Med_paid_amt_mental_health_curr" hidden="1">#REF!</definedName>
    <definedName name="AHF_Med_paid_amt_prim_phys_curr" hidden="1">#REF!</definedName>
    <definedName name="AHF_Med_paid_amt_prior" hidden="1">#REF!</definedName>
    <definedName name="AHF_Med_paid_amt_rad_curr" hidden="1">#REF!</definedName>
    <definedName name="AHF_Med_paid_amt_spec_phys_curr" hidden="1">#REF!</definedName>
    <definedName name="AHF_Med_paid_amt_total_curr" hidden="1">#REF!</definedName>
    <definedName name="AHF_Med_paid_amt_total_mcc_curr" hidden="1">#REF!</definedName>
    <definedName name="AHF_Med_paid_amt_total_prior" hidden="1">#REF!</definedName>
    <definedName name="AHF_Med_paid_amt_unknown_0_19_curr" hidden="1">#REF!</definedName>
    <definedName name="AHF_Med_paid_amt_unknown_20_44_curr" hidden="1">#REF!</definedName>
    <definedName name="AHF_Med_paid_amt_unknown_45_64_curr" hidden="1">#REF!</definedName>
    <definedName name="AHF_Med_paid_amt_unknown_65_over_curr" hidden="1">#REF!</definedName>
    <definedName name="AHF_Med_primary_office__visits_count_prior" hidden="1">#REF!</definedName>
    <definedName name="AHF_Med_primary_office_visits_count_curr" hidden="1">#REF!</definedName>
    <definedName name="AHF_Med_primary_office_visits_count_prior" hidden="1">#REF!</definedName>
    <definedName name="AHF_Med_specialist_office__visits_count_prior" hidden="1">#REF!</definedName>
    <definedName name="AHF_Med_specialist_office_visits_count_curr" hidden="1">#REF!</definedName>
    <definedName name="AHF_Med_specialist_office_visits_count_prior" hidden="1">#REF!</definedName>
    <definedName name="AHF_Med_surgery_count_curr" hidden="1">#REF!</definedName>
    <definedName name="AHF_Med_surgery_count_prior" hidden="1">#REF!</definedName>
    <definedName name="AHF_Med_unknown_mem_0_19_curr" hidden="1">#REF!</definedName>
    <definedName name="AHF_Med_unknown_mem_0_19_prior" hidden="1">#REF!</definedName>
    <definedName name="AHF_Med_unknown_mem_20_44_curr" hidden="1">#REF!</definedName>
    <definedName name="AHF_Med_unknown_mem_20_44_prior" hidden="1">#REF!</definedName>
    <definedName name="AHF_Med_unknown_mem_45_64_curr" hidden="1">#REF!</definedName>
    <definedName name="AHF_Med_unknown_mem_45_64_prior" hidden="1">#REF!</definedName>
    <definedName name="AHF_Med_unknown_mem_65_over_curr" hidden="1">#REF!</definedName>
    <definedName name="AHF_Med_unknown_mem_65_over_prior" hidden="1">#REF!</definedName>
    <definedName name="AHF_Med_unknown_members_curr" hidden="1">#REF!</definedName>
    <definedName name="AHF_Med_unknown_members_prior" hidden="1">#REF!</definedName>
    <definedName name="AHF_Medical_by_Family_Range" hidden="1">#REF!</definedName>
    <definedName name="AHF_Medical_by_Member_Range" hidden="1">#REF!</definedName>
    <definedName name="AHF_Medical_Cost_Category_Range" hidden="1">#REF!</definedName>
    <definedName name="AHF_Medical_Demographics_Range" hidden="1">#REF!</definedName>
    <definedName name="ahf_medical_expenses_curr" hidden="1">#REF!</definedName>
    <definedName name="AHF_Medical_Key_Statistics_Range" hidden="1">#REF!</definedName>
    <definedName name="ahf_member_cnt_female_0_19_curr" hidden="1">#REF!</definedName>
    <definedName name="ahf_member_cnt_female_20_44_curr" hidden="1">#REF!</definedName>
    <definedName name="ahf_member_cnt_female_45_64_curr" hidden="1">#REF!</definedName>
    <definedName name="ahf_member_cnt_female_65_over_curr" hidden="1">#REF!</definedName>
    <definedName name="ahf_member_cnt_male_0_19_curr" hidden="1">#REF!</definedName>
    <definedName name="ahf_member_cnt_male_20_44_curr" hidden="1">#REF!</definedName>
    <definedName name="ahf_member_cnt_male_45_64_curr" hidden="1">#REF!</definedName>
    <definedName name="ahf_member_cnt_male_65_over_curr" hidden="1">#REF!</definedName>
    <definedName name="ahf_member_cnt_total_0_19_curr" hidden="1">#REF!</definedName>
    <definedName name="ahf_member_cnt_total_curr" hidden="1">#REF!</definedName>
    <definedName name="ahf_member_cnt_total_prior" hidden="1">#REF!</definedName>
    <definedName name="ahf_member_cnt_unknown_0_19_curr" hidden="1">#REF!</definedName>
    <definedName name="ahf_member_cnt_unknown_20_44_curr" hidden="1">#REF!</definedName>
    <definedName name="ahf_member_cnt_unknown_45_64_curr" hidden="1">#REF!</definedName>
    <definedName name="ahf_member_cnt_unknown_65_over_curr" hidden="1">#REF!</definedName>
    <definedName name="ahf_paid_amt_female_0_19_curr" hidden="1">#REF!</definedName>
    <definedName name="ahf_paid_amt_female_20_44_curr" hidden="1">#REF!</definedName>
    <definedName name="ahf_paid_amt_female_45_64_curr" hidden="1">#REF!</definedName>
    <definedName name="ahf_paid_amt_female_65_over_curr" hidden="1">#REF!</definedName>
    <definedName name="ahf_paid_amt_male_0_19_curr" hidden="1">#REF!</definedName>
    <definedName name="ahf_paid_amt_male_20_44_curr" hidden="1">#REF!</definedName>
    <definedName name="ahf_paid_amt_male_45_64_curr" hidden="1">#REF!</definedName>
    <definedName name="ahf_paid_amt_male_65_over_curr" hidden="1">#REF!</definedName>
    <definedName name="ahf_paid_amt_total_0_19_curr" hidden="1">#REF!</definedName>
    <definedName name="ahf_paid_amt_total_curr" hidden="1">#REF!</definedName>
    <definedName name="ahf_paid_amt_total_prior" hidden="1">#REF!</definedName>
    <definedName name="ahf_paid_amt_unknown_0_19_curr" hidden="1">#REF!</definedName>
    <definedName name="ahf_paid_amt_unknown_20_44_curr" hidden="1">#REF!</definedName>
    <definedName name="ahf_paid_amt_unknown_45_64_curr" hidden="1">#REF!</definedName>
    <definedName name="ahf_paid_amt_unknown_65_over_curr" hidden="1">#REF!</definedName>
    <definedName name="AHF_Rx_Demographics_Range" hidden="1">#REF!</definedName>
    <definedName name="AHF_Rx_Key_Statistics_Range" hidden="1">#REF!</definedName>
    <definedName name="ahf_rx_num_brand_claims_curr" hidden="1">#REF!</definedName>
    <definedName name="ahf_rx_num_brand_claims_prior" hidden="1">#REF!</definedName>
    <definedName name="ahf_rx_num_claims_curr" hidden="1">#REF!</definedName>
    <definedName name="ahf_rx_num_claims_prior" hidden="1">#REF!</definedName>
    <definedName name="ahf_rx_num_formulary_claims_curr" hidden="1">#REF!</definedName>
    <definedName name="ahf_rx_num_formulary_claims_prior" hidden="1">#REF!</definedName>
    <definedName name="ahf_rx_num_gen_subst_claims_y_curr" hidden="1">#REF!</definedName>
    <definedName name="ahf_rx_num_gen_subst_claims_y_o_curr" hidden="1">#REF!</definedName>
    <definedName name="ahf_rx_num_gen_subst_claims_y_o_prior" hidden="1">#REF!</definedName>
    <definedName name="ahf_rx_num_gen_subst_claims_y_prior" hidden="1">#REF!</definedName>
    <definedName name="ahf_rx_num_generic_claims_curr" hidden="1">#REF!</definedName>
    <definedName name="ahf_rx_num_generic_claims_prior" hidden="1">#REF!</definedName>
    <definedName name="ahf_rx_num_unique_mem_id_curr" hidden="1">#REF!</definedName>
    <definedName name="ahf_rx_num_unique_mem_id_prior" hidden="1">#REF!</definedName>
    <definedName name="ahf_srv_copay_amt_female_0_19_curr" hidden="1">#REF!</definedName>
    <definedName name="ahf_srv_copay_amt_female_20_44_curr" hidden="1">#REF!</definedName>
    <definedName name="ahf_srv_copay_amt_female_45_64_curr" hidden="1">#REF!</definedName>
    <definedName name="ahf_srv_copay_amt_female_65_over_curr" hidden="1">#REF!</definedName>
    <definedName name="ahf_srv_copay_amt_male_0_19_curr" hidden="1">#REF!</definedName>
    <definedName name="ahf_srv_copay_amt_male_20_44_curr" hidden="1">#REF!</definedName>
    <definedName name="ahf_srv_copay_amt_male_45_64_curr" hidden="1">#REF!</definedName>
    <definedName name="ahf_srv_copay_amt_male_65_over_curr" hidden="1">#REF!</definedName>
    <definedName name="ahf_srv_copay_amt_total_0_19_curr" hidden="1">#REF!</definedName>
    <definedName name="ahf_srv_copay_amt_total_curr" hidden="1">#REF!</definedName>
    <definedName name="ahf_srv_copay_amt_total_prior" hidden="1">#REF!</definedName>
    <definedName name="ahf_srv_copay_amt_unknown_0_19_curr" hidden="1">#REF!</definedName>
    <definedName name="ahf_srv_copay_amt_unknown_20_44_curr" hidden="1">#REF!</definedName>
    <definedName name="ahf_srv_copay_amt_unknown_45_64_curr" hidden="1">#REF!</definedName>
    <definedName name="ahf_srv_copay_amt_unknown_65_over_curr" hidden="1">#REF!</definedName>
    <definedName name="ahf_term_emp_fund_paid_curr" hidden="1">#REF!</definedName>
    <definedName name="ahf_term_emp_plus_1_fund_paid_curr" hidden="1">#REF!</definedName>
    <definedName name="ahf_term_emp_plus_2_fund_paid_curr" hidden="1">#REF!</definedName>
    <definedName name="ahf_term_emp_plus_fam_fund_paid_curr" hidden="1">#REF!</definedName>
    <definedName name="ahf_term_total_fund_paid_curr" hidden="1">#REF!</definedName>
    <definedName name="ahf_termed_tier1_active_employee_curr" hidden="1">#REF!</definedName>
    <definedName name="ahf_termed_tier1_cr_claim_paid_with_cr_funds_curr" hidden="1">#REF!</definedName>
    <definedName name="ahf_termed_tier1_cr_clm_paid_with_rollover_funds_curr" hidden="1">#REF!</definedName>
    <definedName name="ahf_termed_tier1_cr_fund_remaining_curr" hidden="1">#REF!</definedName>
    <definedName name="ahf_termed_tier1_cr_year_initial_fund_curr" hidden="1">#REF!</definedName>
    <definedName name="ahf_termed_tier1_emp_0_spend_curr" hidden="1">#REF!</definedName>
    <definedName name="ahf_termed_tier1_emp_100_spend_curr" hidden="1">#REF!</definedName>
    <definedName name="ahf_termed_tier1_emp_24_1_spend_curr" hidden="1">#REF!</definedName>
    <definedName name="ahf_termed_tier1_emp_49_25_spend_curr" hidden="1">#REF!</definedName>
    <definedName name="ahf_termed_tier1_emp_74_50_spend_curr" hidden="1">#REF!</definedName>
    <definedName name="ahf_termed_tier1_emp_99_75_spend_curr" hidden="1">#REF!</definedName>
    <definedName name="ahf_termed_tier1_Incentive_fund_earned_curr" hidden="1">#REF!</definedName>
    <definedName name="ahf_termed_tier1_rollover_fund_remaining_curr" hidden="1">#REF!</definedName>
    <definedName name="ahf_termed_tier1_rollover_pr_year_curr" hidden="1">#REF!</definedName>
    <definedName name="ahf_termed_tier1_tot_fund_available_curr" hidden="1">#REF!</definedName>
    <definedName name="ahf_termed_tier2_active_employee_curr" hidden="1">#REF!</definedName>
    <definedName name="ahf_termed_tier2_cr_claim_paid_with_cr_funds_curr" hidden="1">#REF!</definedName>
    <definedName name="ahf_termed_tier2_cr_clm_paid_with_rollover_funds_curr" hidden="1">#REF!</definedName>
    <definedName name="ahf_termed_tier2_cr_fund_remaining_curr" hidden="1">#REF!</definedName>
    <definedName name="ahf_termed_tier2_cr_year_initial_fund_curr" hidden="1">#REF!</definedName>
    <definedName name="ahf_termed_tier2_emp_0_spend_curr" hidden="1">#REF!</definedName>
    <definedName name="ahf_termed_tier2_emp_100_spend_curr" hidden="1">#REF!</definedName>
    <definedName name="ahf_termed_tier2_emp_24_1_spend_curr" hidden="1">#REF!</definedName>
    <definedName name="ahf_termed_tier2_emp_49_25_spend_curr" hidden="1">#REF!</definedName>
    <definedName name="ahf_termed_tier2_emp_74_50_spend_curr" hidden="1">#REF!</definedName>
    <definedName name="ahf_termed_tier2_emp_99_75_spend_curr" hidden="1">#REF!</definedName>
    <definedName name="ahf_termed_tier2_Incentive_fund_earned_curr" hidden="1">#REF!</definedName>
    <definedName name="ahf_termed_tier2_rollover_fund_remaining_curr" hidden="1">#REF!</definedName>
    <definedName name="ahf_termed_tier2_rollover_pr_year_curr" hidden="1">#REF!</definedName>
    <definedName name="ahf_termed_tier2_tot_fund_available_curr" hidden="1">#REF!</definedName>
    <definedName name="ahf_termed_tier3_active_employee_curr" hidden="1">#REF!</definedName>
    <definedName name="ahf_termed_tier3_cr_claim_paid_with_cr_funds_curr" hidden="1">#REF!</definedName>
    <definedName name="ahf_termed_tier3_cr_clm_paid_with_rollover_funds_curr" hidden="1">#REF!</definedName>
    <definedName name="ahf_termed_tier3_cr_fund_remaining_curr" hidden="1">#REF!</definedName>
    <definedName name="ahf_termed_tier3_cr_year_initial_fund_curr" hidden="1">#REF!</definedName>
    <definedName name="ahf_termed_tier3_emp_0_spend_curr" hidden="1">#REF!</definedName>
    <definedName name="ahf_termed_tier3_emp_100_spend_curr" hidden="1">#REF!</definedName>
    <definedName name="ahf_termed_tier3_emp_24_1_spend_curr" hidden="1">#REF!</definedName>
    <definedName name="ahf_termed_tier3_emp_49_25_spend_curr" hidden="1">#REF!</definedName>
    <definedName name="ahf_termed_tier3_emp_74_50_spend_curr" hidden="1">#REF!</definedName>
    <definedName name="ahf_termed_tier3_emp_99_75_spend_curr" hidden="1">#REF!</definedName>
    <definedName name="ahf_termed_tier3_Incentive_fund_earned_curr" hidden="1">#REF!</definedName>
    <definedName name="ahf_termed_tier3_rollover_fund_remaining_curr" hidden="1">#REF!</definedName>
    <definedName name="ahf_termed_tier3_rollover_pr_year_curr" hidden="1">#REF!</definedName>
    <definedName name="ahf_termed_tier3_tot_fund_available_curr" hidden="1">#REF!</definedName>
    <definedName name="ahf_termed_tier4_active_employee_curr" hidden="1">#REF!</definedName>
    <definedName name="ahf_termed_tier4_cr_claim_paid_with_cr_funds_curr" hidden="1">#REF!</definedName>
    <definedName name="ahf_termed_tier4_cr_clm_paid_with_rollover_funds_curr" hidden="1">#REF!</definedName>
    <definedName name="ahf_termed_tier4_cr_fund_remaining_curr" hidden="1">#REF!</definedName>
    <definedName name="ahf_termed_tier4_cr_year_initial_fund_curr" hidden="1">#REF!</definedName>
    <definedName name="ahf_termed_tier4_emp_0_spend_curr" hidden="1">#REF!</definedName>
    <definedName name="ahf_termed_tier4_emp_100_spend_curr" hidden="1">#REF!</definedName>
    <definedName name="ahf_termed_tier4_emp_24_1_spend_curr" hidden="1">#REF!</definedName>
    <definedName name="ahf_termed_tier4_emp_49_25_spend_curr" hidden="1">#REF!</definedName>
    <definedName name="ahf_termed_tier4_emp_74_50_spend_curr" hidden="1">#REF!</definedName>
    <definedName name="ahf_termed_tier4_emp_99_75_spend_curr" hidden="1">#REF!</definedName>
    <definedName name="ahf_termed_tier4_Incentive_fund_earned_curr" hidden="1">#REF!</definedName>
    <definedName name="ahf_termed_tier4_rollover_fund_remaining_curr" hidden="1">#REF!</definedName>
    <definedName name="ahf_termed_tier4_rollover_pr_year_curr" hidden="1">#REF!</definedName>
    <definedName name="ahf_termed_tier4_tot_fund_available_curr" hidden="1">#REF!</definedName>
    <definedName name="ahf_tier1_active_employee_curr" hidden="1">#REF!</definedName>
    <definedName name="ahf_tier1_cr_claim_paid_with_cr_funds_curr" hidden="1">#REF!</definedName>
    <definedName name="ahf_tier1_cr_clm_paid_with_rollover_funds_curr" hidden="1">#REF!</definedName>
    <definedName name="ahf_tier1_cr_fund_remaining_curr" hidden="1">#REF!</definedName>
    <definedName name="ahf_tier1_cr_year_initial_fund_curr" hidden="1">#REF!</definedName>
    <definedName name="ahf_tier1_emp_0_spend_curr" hidden="1">#REF!</definedName>
    <definedName name="ahf_tier1_emp_100_spend_curr" hidden="1">#REF!</definedName>
    <definedName name="ahf_tier1_emp_24_1_spend_curr" hidden="1">#REF!</definedName>
    <definedName name="ahf_tier1_emp_49_25_spend_curr" hidden="1">#REF!</definedName>
    <definedName name="ahf_tier1_emp_74_50_spend_curr" hidden="1">#REF!</definedName>
    <definedName name="ahf_tier1_emp_99_75_spend_curr" hidden="1">#REF!</definedName>
    <definedName name="ahf_tier1_Incentive_fund_earned_curr" hidden="1">#REF!</definedName>
    <definedName name="ahf_tier1_rollover_fund_remaining_curr" hidden="1">#REF!</definedName>
    <definedName name="ahf_tier1_rollover_pr_year_curr" hidden="1">#REF!</definedName>
    <definedName name="ahf_tier1_tot_fund_available_curr" hidden="1">#REF!</definedName>
    <definedName name="ahf_tier2_active_employee_curr" hidden="1">#REF!</definedName>
    <definedName name="ahf_tier2_cr_claim_paid_with_cr_funds_curr" hidden="1">#REF!</definedName>
    <definedName name="ahf_tier2_cr_clm_paid_with_rollover_funds_curr" hidden="1">#REF!</definedName>
    <definedName name="ahf_tier2_cr_fund_remaining_curr" hidden="1">#REF!</definedName>
    <definedName name="ahf_tier2_cr_year_initial_fund_curr" hidden="1">#REF!</definedName>
    <definedName name="ahf_tier2_emp_0_spend_curr" hidden="1">#REF!</definedName>
    <definedName name="ahf_tier2_emp_100_spend_curr" hidden="1">#REF!</definedName>
    <definedName name="ahf_tier2_emp_24_1_spend_curr" hidden="1">#REF!</definedName>
    <definedName name="ahf_tier2_emp_49_25_spend_curr" hidden="1">#REF!</definedName>
    <definedName name="ahf_tier2_emp_74_50_spend_curr" hidden="1">#REF!</definedName>
    <definedName name="ahf_tier2_emp_99_75_spend_curr" hidden="1">#REF!</definedName>
    <definedName name="ahf_tier2_Incentive_fund_earned_curr" hidden="1">#REF!</definedName>
    <definedName name="ahf_tier2_rollover_fund_remaining_curr" hidden="1">#REF!</definedName>
    <definedName name="ahf_tier2_rollover_pr_year_curr" hidden="1">#REF!</definedName>
    <definedName name="ahf_tier2_tot_fund_available_curr" hidden="1">#REF!</definedName>
    <definedName name="ahf_tier3_active_employee_curr" hidden="1">#REF!</definedName>
    <definedName name="ahf_tier3_cr_claim_paid_with_cr_funds_curr" hidden="1">#REF!</definedName>
    <definedName name="ahf_tier3_cr_clm_paid_with_rollover_funds_curr" hidden="1">#REF!</definedName>
    <definedName name="ahf_tier3_cr_fund_remaining_curr" hidden="1">#REF!</definedName>
    <definedName name="ahf_tier3_cr_year_initial_fund_curr" hidden="1">#REF!</definedName>
    <definedName name="ahf_tier3_emp_0_spend_curr" hidden="1">#REF!</definedName>
    <definedName name="ahf_tier3_emp_100_spend_curr" hidden="1">#REF!</definedName>
    <definedName name="ahf_tier3_emp_24_1_spend_curr" hidden="1">#REF!</definedName>
    <definedName name="ahf_tier3_emp_49_25_spend_curr" hidden="1">#REF!</definedName>
    <definedName name="ahf_tier3_emp_74_50_spend_curr" hidden="1">#REF!</definedName>
    <definedName name="ahf_tier3_emp_99_75_spend_curr" hidden="1">#REF!</definedName>
    <definedName name="ahf_tier3_Incentive_fund_earned_curr" hidden="1">#REF!</definedName>
    <definedName name="ahf_tier3_rollover_fund_remaining_curr" hidden="1">#REF!</definedName>
    <definedName name="ahf_tier3_rollover_pr_year_curr" hidden="1">#REF!</definedName>
    <definedName name="ahf_tier3_tot_fund_available_curr" hidden="1">#REF!</definedName>
    <definedName name="ahf_tier4_active_employee_curr" hidden="1">#REF!</definedName>
    <definedName name="ahf_tier4_cr_claim_paid_with_cr_funds_curr" hidden="1">#REF!</definedName>
    <definedName name="ahf_tier4_cr_clm_paid_with_rollover_funds_curr" hidden="1">#REF!</definedName>
    <definedName name="ahf_tier4_cr_fund_remaining_curr" hidden="1">#REF!</definedName>
    <definedName name="ahf_tier4_cr_year_initial_fund_curr" hidden="1">#REF!</definedName>
    <definedName name="ahf_tier4_emp_0_spend_curr" hidden="1">#REF!</definedName>
    <definedName name="ahf_tier4_emp_100_spend_curr" hidden="1">#REF!</definedName>
    <definedName name="ahf_tier4_emp_24_1_spend_curr" hidden="1">#REF!</definedName>
    <definedName name="ahf_tier4_emp_49_25_spend_curr" hidden="1">#REF!</definedName>
    <definedName name="ahf_tier4_emp_74_50_spend_curr" hidden="1">#REF!</definedName>
    <definedName name="ahf_tier4_emp_99_75_spend_curr" hidden="1">#REF!</definedName>
    <definedName name="ahf_tier4_Incentive_fund_earned_curr" hidden="1">#REF!</definedName>
    <definedName name="ahf_tier4_rollover_fund_remaining_curr" hidden="1">#REF!</definedName>
    <definedName name="ahf_tier4_rollover_pr_year_curr" hidden="1">#REF!</definedName>
    <definedName name="ahf_tier4_tot_fund_available_curr" hidden="1">#REF!</definedName>
    <definedName name="ahf_total_active_employee_curr" hidden="1">#REF!</definedName>
    <definedName name="ahf_total_cr_claim_paid_with_cr_funds_curr" hidden="1">#REF!</definedName>
    <definedName name="ahf_total_cr_clm_paid_with_rollover_funds_curr" hidden="1">#REF!</definedName>
    <definedName name="ahf_total_cr_fund_remaining_curr" hidden="1">#REF!</definedName>
    <definedName name="ahf_total_cr_year_initial_fund_curr" hidden="1">#REF!</definedName>
    <definedName name="ahf_total_emp_0_spend_curr" hidden="1">#REF!</definedName>
    <definedName name="ahf_total_emp_100_spend_curr" hidden="1">#REF!</definedName>
    <definedName name="ahf_total_emp_24_1_spend_curr" hidden="1">#REF!</definedName>
    <definedName name="ahf_total_emp_49_25_spend_curr" hidden="1">#REF!</definedName>
    <definedName name="ahf_total_emp_74_50_spend_curr" hidden="1">#REF!</definedName>
    <definedName name="ahf_total_emp_99_75_spend_curr" hidden="1">#REF!</definedName>
    <definedName name="ahf_total_Incentive_fund_earned_curr" hidden="1">#REF!</definedName>
    <definedName name="ahf_total_rollover_fund_remaining_curr" hidden="1">#REF!</definedName>
    <definedName name="ahf_total_rollover_pr_year_curr" hidden="1">#REF!</definedName>
    <definedName name="ahf_total_termd_active_employee_curr" hidden="1">#REF!</definedName>
    <definedName name="ahf_total_termd_cr_claim_paid_with_cr_funds_curr" hidden="1">#REF!</definedName>
    <definedName name="ahf_total_termd_cr_clm_paid_with_rollover_funds_curr" hidden="1">#REF!</definedName>
    <definedName name="ahf_total_termd_cr_fund_remaining_curr" hidden="1">#REF!</definedName>
    <definedName name="ahf_total_termd_cr_year_initial_fund_curr" hidden="1">#REF!</definedName>
    <definedName name="ahf_total_termd_emp_0_spend_curr" hidden="1">#REF!</definedName>
    <definedName name="ahf_total_termd_emp_100_spend_curr" hidden="1">#REF!</definedName>
    <definedName name="ahf_total_termd_emp_24_1_spend_curr" hidden="1">#REF!</definedName>
    <definedName name="ahf_total_termd_emp_49_25_spend_curr" hidden="1">#REF!</definedName>
    <definedName name="ahf_total_termd_emp_74_50_spend_curr" hidden="1">#REF!</definedName>
    <definedName name="ahf_total_termd_emp_99_75_spend_curr" hidden="1">#REF!</definedName>
    <definedName name="ahf_total_termd_Incentive_fund_earned_curr" hidden="1">#REF!</definedName>
    <definedName name="ahf_total_termd_rollover_fund_remaining_curr" hidden="1">#REF!</definedName>
    <definedName name="ahf_total_termd_rollover_pr_year_curr" hidden="1">#REF!</definedName>
    <definedName name="ahf_total_termd_tot_fund_available_curr" hidden="1">#REF!</definedName>
    <definedName name="ahf_total_tot_fund_available_curr" hidden="1">#REF!</definedName>
    <definedName name="AHFFamilyDollarsCurr" hidden="1">#REF!</definedName>
    <definedName name="AJ">#N/A</definedName>
    <definedName name="Amb_MDC_Analysis_Medical_Range" hidden="1">#REF!</definedName>
    <definedName name="amb_mdc_na_bob_column1" hidden="1">#REF!</definedName>
    <definedName name="approvla" hidden="1">{#N/A,#N/A,FALSE,"Cosmos Report"}</definedName>
    <definedName name="APRIL2020">#REF!</definedName>
    <definedName name="APRIL22020">#REF!</definedName>
    <definedName name="AreaFactor">#REF!</definedName>
    <definedName name="AreaTbl" localSheetId="0">#REF!</definedName>
    <definedName name="AreaTbl" localSheetId="3">#REF!</definedName>
    <definedName name="AreaTbl" localSheetId="2">#REF!</definedName>
    <definedName name="AreaTbl" localSheetId="1">#REF!</definedName>
    <definedName name="AreaTbl" localSheetId="4">#REF!</definedName>
    <definedName name="AreaTbl" localSheetId="5">#REF!</definedName>
    <definedName name="AreaTbl" localSheetId="7">#REF!</definedName>
    <definedName name="AreaTbl" localSheetId="6">#REF!</definedName>
    <definedName name="AreaTbl">#REF!</definedName>
    <definedName name="asdfasdfasdgf" hidden="1">#REF!</definedName>
    <definedName name="asdfs" hidden="1">{#N/A,#N/A,FALSE,"OfficeAssets"}</definedName>
    <definedName name="asdrf" hidden="1">{#N/A,#N/A,FALSE,"Paid Claims";#N/A,#N/A,FALSE,"Cumulative Paid Claims";#N/A,#N/A,FALSE,"Completion Ratios";#N/A,#N/A,FALSE,"Claim Reserve Analysis";#N/A,#N/A,FALSE,"Paid Claims % of Est Inc";#N/A,#N/A,FALSE,"Trends in Pure Premium";#N/A,#N/A,FALSE,"Trends in Paid Claims";#N/A,#N/A,FALSE,"Reserve Analysis"}</definedName>
    <definedName name="ASFThreeTier">#REF!</definedName>
    <definedName name="AUGUST2017" localSheetId="12">#REF!</definedName>
    <definedName name="AUGUST2017" localSheetId="13">#REF!</definedName>
    <definedName name="AUGUST2017">#REF!</definedName>
    <definedName name="AvgAgeSexFactor">#REF!</definedName>
    <definedName name="B" localSheetId="18">#REF!</definedName>
    <definedName name="B" localSheetId="20">#REF!</definedName>
    <definedName name="B" localSheetId="19">#REF!</definedName>
    <definedName name="B" localSheetId="0">#REF!</definedName>
    <definedName name="B" localSheetId="3">#REF!</definedName>
    <definedName name="B" localSheetId="2">#REF!</definedName>
    <definedName name="B" localSheetId="1">#REF!</definedName>
    <definedName name="B" localSheetId="4">#REF!</definedName>
    <definedName name="B" localSheetId="5">#REF!</definedName>
    <definedName name="B" localSheetId="7">#REF!</definedName>
    <definedName name="B" localSheetId="6">#REF!</definedName>
    <definedName name="B">#REF!</definedName>
    <definedName name="BeniComp" localSheetId="18">OFFSET(#REF!,0,0,COUNTA(#REF!))</definedName>
    <definedName name="BeniComp" localSheetId="20">OFFSET(#REF!,0,0,COUNTA(#REF!))</definedName>
    <definedName name="BeniComp" localSheetId="19">OFFSET(#REF!,0,0,COUNTA(#REF!))</definedName>
    <definedName name="BeniComp">OFFSET(#REF!,0,0,COUNTA(#REF!))</definedName>
    <definedName name="bgf" hidden="1">#REF!</definedName>
    <definedName name="bgg" hidden="1">#REF!</definedName>
    <definedName name="BOB_Dental_allowed_amt_curr" hidden="1">#REF!</definedName>
    <definedName name="BOB_Dental_allowed_amt_prior" hidden="1">#REF!</definedName>
    <definedName name="BOB_Dental_basic_paid_amt_curr" hidden="1">#REF!</definedName>
    <definedName name="BOB_Dental_basic_paid_amt_prior" hidden="1">#REF!</definedName>
    <definedName name="BOB_Dental_basic_svcs_curr" hidden="1">#REF!</definedName>
    <definedName name="BOB_Dental_basic_svcs_prior" hidden="1">#REF!</definedName>
    <definedName name="BOB_Dental_cob_amt_curr" hidden="1">#REF!</definedName>
    <definedName name="BOB_Dental_cob_amt_prior" hidden="1">#REF!</definedName>
    <definedName name="BOB_Dental_coinsurance_amt_curr" hidden="1">#REF!</definedName>
    <definedName name="BOB_Dental_coinsurance_amt_prior" hidden="1">#REF!</definedName>
    <definedName name="BOB_Dental_deductible_amt_curr" hidden="1">#REF!</definedName>
    <definedName name="BOB_Dental_deductible_amt_prior" hidden="1">#REF!</definedName>
    <definedName name="BOB_Dental_major_paid_amt_curr" hidden="1">#REF!</definedName>
    <definedName name="BOB_Dental_major_paid_amt_prior" hidden="1">#REF!</definedName>
    <definedName name="BOB_Dental_major_svcs_curr" hidden="1">#REF!</definedName>
    <definedName name="BOB_Dental_major_svcs_prior" hidden="1">#REF!</definedName>
    <definedName name="BOB_Dental_network_paid_amt_curr" hidden="1">#REF!</definedName>
    <definedName name="BOB_Dental_network_paid_amt_prior" hidden="1">#REF!</definedName>
    <definedName name="BOB_Dental_orthodonic_paid_amt_curr" hidden="1">#REF!</definedName>
    <definedName name="BOB_Dental_orthodonic_paid_amt_prior" hidden="1">#REF!</definedName>
    <definedName name="BOB_Dental_orthodonic_svcs_curr" hidden="1">#REF!</definedName>
    <definedName name="BOB_Dental_orthodonic_svcs_prior" hidden="1">#REF!</definedName>
    <definedName name="BOB_Dental_other_paid_amt_curr" hidden="1">#REF!</definedName>
    <definedName name="BOB_Dental_other_paid_amt_prior" hidden="1">#REF!</definedName>
    <definedName name="BOB_Dental_other_svcs_curr" hidden="1">#REF!</definedName>
    <definedName name="BOB_Dental_other_svcs_prior" hidden="1">#REF!</definedName>
    <definedName name="BOB_Dental_paid_amt_curr" hidden="1">#REF!</definedName>
    <definedName name="BOB_Dental_paid_amt_prior" hidden="1">#REF!</definedName>
    <definedName name="BOB_Dental_preventative_paid_amt_curr" hidden="1">#REF!</definedName>
    <definedName name="BOB_Dental_preventative_paid_amt_prior" hidden="1">#REF!</definedName>
    <definedName name="BOB_Dental_preventative_svcs_curr" hidden="1">#REF!</definedName>
    <definedName name="BOB_Dental_preventative_svcs_prior" hidden="1">#REF!</definedName>
    <definedName name="BOB_Med_admit_count_curr" hidden="1">#REF!</definedName>
    <definedName name="BOB_Med_admit_count_prior" hidden="1">#REF!</definedName>
    <definedName name="BOB_Med_allowed_amt_curr" hidden="1">#REF!</definedName>
    <definedName name="BOB_Med_allowed_amt_prior" hidden="1">#REF!</definedName>
    <definedName name="BOB_Med_amb_paid_amt_curr" hidden="1">#REF!</definedName>
    <definedName name="BOB_Med_amb_paid_amt_prior" hidden="1">#REF!</definedName>
    <definedName name="BOB_Med_amb_surgery_count_curr" hidden="1">#REF!</definedName>
    <definedName name="BOB_Med_amb_surgery_count_prior" hidden="1">#REF!</definedName>
    <definedName name="BOB_Med_avg_age_members_curr" hidden="1">#REF!</definedName>
    <definedName name="BOB_Med_avg_age_members_prior" hidden="1">#REF!</definedName>
    <definedName name="BOB_Med_claim_count_above_threshold_curr" hidden="1">#REF!</definedName>
    <definedName name="BOB_Med_claim_count_above_threshold_prior" hidden="1">#REF!</definedName>
    <definedName name="BOB_Med_claim_count_curr" hidden="1">#REF!</definedName>
    <definedName name="BOB_Med_claim_count_prior" hidden="1">#REF!</definedName>
    <definedName name="BOB_Med_cob_amt_curr" hidden="1">#REF!</definedName>
    <definedName name="BOB_Med_cob_amt_prior" hidden="1">#REF!</definedName>
    <definedName name="BOB_Med_coinsurance_amt_curr" hidden="1">#REF!</definedName>
    <definedName name="BOB_Med_coinsurance_amt_prior" hidden="1">#REF!</definedName>
    <definedName name="BOB_Med_copay_amt_curr" hidden="1">#REF!</definedName>
    <definedName name="BOB_Med_copay_amt_prior" hidden="1">#REF!</definedName>
    <definedName name="BOB_Med_days_count_curr" hidden="1">#REF!</definedName>
    <definedName name="BOB_Med_days_count_prior" hidden="1">#REF!</definedName>
    <definedName name="BOB_Med_deductible_amt_curr" hidden="1">#REF!</definedName>
    <definedName name="BOB_Med_deductible_amt_prior" hidden="1">#REF!</definedName>
    <definedName name="BOB_Med_er_visits_count_curr" hidden="1">#REF!</definedName>
    <definedName name="BOB_Med_er_visits_count_prior" hidden="1">#REF!</definedName>
    <definedName name="BOB_Med_female_mem_0_19_curr" hidden="1">#REF!</definedName>
    <definedName name="BOB_Med_female_mem_0_19_prior" hidden="1">#REF!</definedName>
    <definedName name="BOB_Med_female_mem_20_44_curr" hidden="1">#REF!</definedName>
    <definedName name="BOB_Med_female_mem_20_44_prior" hidden="1">#REF!</definedName>
    <definedName name="BOB_Med_female_mem_45_64_curr" hidden="1">#REF!</definedName>
    <definedName name="BOB_Med_female_mem_45_64_prior" hidden="1">#REF!</definedName>
    <definedName name="BOB_Med_female_mem_65_over_curr" hidden="1">#REF!</definedName>
    <definedName name="BOB_Med_female_mem_65_over_prior" hidden="1">#REF!</definedName>
    <definedName name="BOB_Med_female_members_curr" hidden="1">#REF!</definedName>
    <definedName name="BOB_Med_female_members_prior" hidden="1">#REF!</definedName>
    <definedName name="BOB_Med_inp_paid_amt_curr" hidden="1">#REF!</definedName>
    <definedName name="BOB_Med_inp_paid_amt_prior" hidden="1">#REF!</definedName>
    <definedName name="BOB_Med_inp_surgery_count_curr" hidden="1">#REF!</definedName>
    <definedName name="BOB_Med_inp_surgery_count_prior" hidden="1">#REF!</definedName>
    <definedName name="BOB_Med_male_mem_0_19_curr" hidden="1">#REF!</definedName>
    <definedName name="BOB_Med_male_mem_0_19_prior" hidden="1">#REF!</definedName>
    <definedName name="BOB_Med_male_mem_20_44_curr" hidden="1">#REF!</definedName>
    <definedName name="BOB_Med_male_mem_20_44_prior" hidden="1">#REF!</definedName>
    <definedName name="BOB_Med_male_mem_45_64_curr" hidden="1">#REF!</definedName>
    <definedName name="BOB_Med_male_mem_45_64_prior" hidden="1">#REF!</definedName>
    <definedName name="BOB_Med_male_mem_65_over_curr" hidden="1">#REF!</definedName>
    <definedName name="BOB_Med_male_mem_65_over_prior" hidden="1">#REF!</definedName>
    <definedName name="BOB_Med_male_members_curr" hidden="1">#REF!</definedName>
    <definedName name="BOB_Med_male_members_prior" hidden="1">#REF!</definedName>
    <definedName name="BOB_Med_MDC_admits_00_curr" hidden="1">#REF!</definedName>
    <definedName name="BOB_Med_MDC_admits_01_curr" hidden="1">#REF!</definedName>
    <definedName name="BOB_Med_MDC_admits_02_curr" hidden="1">#REF!</definedName>
    <definedName name="BOB_Med_MDC_admits_03_curr" hidden="1">#REF!</definedName>
    <definedName name="BOB_Med_MDC_admits_04_curr" hidden="1">#REF!</definedName>
    <definedName name="BOB_Med_MDC_admits_05_curr" hidden="1">#REF!</definedName>
    <definedName name="BOB_Med_MDC_admits_06_curr" hidden="1">#REF!</definedName>
    <definedName name="BOB_Med_MDC_admits_07_curr" hidden="1">#REF!</definedName>
    <definedName name="BOB_Med_MDC_admits_08_curr" hidden="1">#REF!</definedName>
    <definedName name="BOB_Med_MDC_admits_09_curr" hidden="1">#REF!</definedName>
    <definedName name="BOB_Med_MDC_admits_10_curr" hidden="1">#REF!</definedName>
    <definedName name="BOB_Med_MDC_admits_11_curr" hidden="1">#REF!</definedName>
    <definedName name="BOB_Med_MDC_admits_12_curr" hidden="1">#REF!</definedName>
    <definedName name="BOB_Med_MDC_admits_13_curr" hidden="1">#REF!</definedName>
    <definedName name="BOB_Med_MDC_admits_14_curr" hidden="1">#REF!</definedName>
    <definedName name="BOB_Med_MDC_admits_15_curr" hidden="1">#REF!</definedName>
    <definedName name="BOB_Med_MDC_admits_16_curr" hidden="1">#REF!</definedName>
    <definedName name="BOB_Med_MDC_admits_17_curr" hidden="1">#REF!</definedName>
    <definedName name="BOB_Med_MDC_admits_18_curr" hidden="1">#REF!</definedName>
    <definedName name="BOB_Med_MDC_admits_19_curr" hidden="1">#REF!</definedName>
    <definedName name="BOB_Med_MDC_admits_20_curr" hidden="1">#REF!</definedName>
    <definedName name="BOB_Med_MDC_admits_21_curr" hidden="1">#REF!</definedName>
    <definedName name="BOB_Med_MDC_admits_22_curr" hidden="1">#REF!</definedName>
    <definedName name="BOB_Med_MDC_admits_23_curr" hidden="1">#REF!</definedName>
    <definedName name="BOB_Med_MDC_admits_999_curr" hidden="1">#REF!</definedName>
    <definedName name="BOB_Med_MDC_amb_paid_00_curr" hidden="1">#REF!</definedName>
    <definedName name="BOB_Med_MDC_amb_paid_01_curr" hidden="1">#REF!</definedName>
    <definedName name="BOB_Med_MDC_amb_paid_02_curr" hidden="1">#REF!</definedName>
    <definedName name="BOB_Med_MDC_amb_paid_03_curr" hidden="1">#REF!</definedName>
    <definedName name="BOB_Med_MDC_amb_paid_04_curr" hidden="1">#REF!</definedName>
    <definedName name="BOB_Med_MDC_amb_paid_05_curr" hidden="1">#REF!</definedName>
    <definedName name="BOB_Med_MDC_amb_paid_06_curr" hidden="1">#REF!</definedName>
    <definedName name="BOB_Med_MDC_amb_paid_07_curr" hidden="1">#REF!</definedName>
    <definedName name="BOB_Med_MDC_amb_paid_08_curr" hidden="1">#REF!</definedName>
    <definedName name="BOB_Med_MDC_amb_paid_09_curr" hidden="1">#REF!</definedName>
    <definedName name="BOB_Med_MDC_amb_paid_10_curr" hidden="1">#REF!</definedName>
    <definedName name="BOB_Med_MDC_amb_paid_11_curr" hidden="1">#REF!</definedName>
    <definedName name="BOB_Med_MDC_amb_paid_12_curr" hidden="1">#REF!</definedName>
    <definedName name="BOB_Med_MDC_amb_paid_13_curr" hidden="1">#REF!</definedName>
    <definedName name="BOB_Med_MDC_amb_paid_14_curr" hidden="1">#REF!</definedName>
    <definedName name="BOB_Med_MDC_amb_paid_15_curr" hidden="1">#REF!</definedName>
    <definedName name="BOB_Med_MDC_amb_paid_16_curr" hidden="1">#REF!</definedName>
    <definedName name="BOB_Med_MDC_amb_paid_17_curr" hidden="1">#REF!</definedName>
    <definedName name="BOB_Med_MDC_amb_paid_18_curr" hidden="1">#REF!</definedName>
    <definedName name="BOB_Med_MDC_amb_paid_19_curr" hidden="1">#REF!</definedName>
    <definedName name="BOB_Med_MDC_amb_paid_20_curr" hidden="1">#REF!</definedName>
    <definedName name="BOB_Med_MDC_amb_paid_21_curr" hidden="1">#REF!</definedName>
    <definedName name="BOB_Med_MDC_amb_paid_22_curr" hidden="1">#REF!</definedName>
    <definedName name="BOB_Med_MDC_amb_paid_23_curr" hidden="1">#REF!</definedName>
    <definedName name="BOB_Med_MDC_amb_paid_999_curr" hidden="1">#REF!</definedName>
    <definedName name="BOB_Med_MDC_cd_00_curr" hidden="1">#REF!</definedName>
    <definedName name="BOB_Med_MDC_cd_01_curr" hidden="1">#REF!</definedName>
    <definedName name="BOB_Med_MDC_cd_02_curr" hidden="1">#REF!</definedName>
    <definedName name="BOB_Med_MDC_cd_03_curr" hidden="1">#REF!</definedName>
    <definedName name="BOB_Med_MDC_cd_04_curr" hidden="1">#REF!</definedName>
    <definedName name="BOB_Med_MDC_cd_05_curr" hidden="1">#REF!</definedName>
    <definedName name="BOB_Med_MDC_cd_06_curr" hidden="1">#REF!</definedName>
    <definedName name="BOB_Med_MDC_cd_07_curr" hidden="1">#REF!</definedName>
    <definedName name="BOB_Med_MDC_cd_08_curr" hidden="1">#REF!</definedName>
    <definedName name="BOB_Med_MDC_cd_09_curr" hidden="1">#REF!</definedName>
    <definedName name="BOB_Med_MDC_cd_10_curr" hidden="1">#REF!</definedName>
    <definedName name="BOB_Med_MDC_cd_11_curr" hidden="1">#REF!</definedName>
    <definedName name="BOB_Med_MDC_cd_12_curr" hidden="1">#REF!</definedName>
    <definedName name="BOB_Med_MDC_cd_13_curr" hidden="1">#REF!</definedName>
    <definedName name="BOB_Med_MDC_cd_14_curr" hidden="1">#REF!</definedName>
    <definedName name="BOB_Med_MDC_cd_15_curr" hidden="1">#REF!</definedName>
    <definedName name="BOB_Med_MDC_cd_16_curr" hidden="1">#REF!</definedName>
    <definedName name="BOB_Med_MDC_cd_17_curr" hidden="1">#REF!</definedName>
    <definedName name="BOB_Med_MDC_cd_18_curr" hidden="1">#REF!</definedName>
    <definedName name="BOB_Med_MDC_cd_19_curr" hidden="1">#REF!</definedName>
    <definedName name="BOB_Med_MDC_cd_20_curr" hidden="1">#REF!</definedName>
    <definedName name="BOB_Med_MDC_cd_21_curr" hidden="1">#REF!</definedName>
    <definedName name="BOB_Med_MDC_cd_22_curr" hidden="1">#REF!</definedName>
    <definedName name="BOB_Med_MDC_cd_23_curr" hidden="1">#REF!</definedName>
    <definedName name="BOB_Med_MDC_cd_999_curr" hidden="1">#REF!</definedName>
    <definedName name="BOB_Med_MDC_claimants_00_curr" hidden="1">#REF!</definedName>
    <definedName name="BOB_Med_MDC_claimants_01_curr" hidden="1">#REF!</definedName>
    <definedName name="BOB_Med_MDC_claimants_02_curr" hidden="1">#REF!</definedName>
    <definedName name="BOB_Med_MDC_claimants_03_curr" hidden="1">#REF!</definedName>
    <definedName name="BOB_Med_MDC_claimants_04_curr" hidden="1">#REF!</definedName>
    <definedName name="BOB_Med_MDC_claimants_05_curr" hidden="1">#REF!</definedName>
    <definedName name="BOB_Med_MDC_claimants_06_curr" hidden="1">#REF!</definedName>
    <definedName name="BOB_Med_MDC_claimants_07_curr" hidden="1">#REF!</definedName>
    <definedName name="BOB_Med_MDC_claimants_08_curr" hidden="1">#REF!</definedName>
    <definedName name="BOB_Med_MDC_claimants_09_curr" hidden="1">#REF!</definedName>
    <definedName name="BOB_Med_MDC_claimants_10_curr" hidden="1">#REF!</definedName>
    <definedName name="BOB_Med_MDC_claimants_11_curr" hidden="1">#REF!</definedName>
    <definedName name="BOB_Med_MDC_claimants_12_curr" hidden="1">#REF!</definedName>
    <definedName name="BOB_Med_MDC_claimants_13_curr" hidden="1">#REF!</definedName>
    <definedName name="BOB_Med_MDC_claimants_14_curr" hidden="1">#REF!</definedName>
    <definedName name="BOB_Med_MDC_claimants_15_curr" hidden="1">#REF!</definedName>
    <definedName name="BOB_Med_MDC_claimants_16_curr" hidden="1">#REF!</definedName>
    <definedName name="BOB_Med_MDC_claimants_17_curr" hidden="1">#REF!</definedName>
    <definedName name="BOB_Med_MDC_claimants_18_curr" hidden="1">#REF!</definedName>
    <definedName name="BOB_Med_MDC_claimants_19_curr" hidden="1">#REF!</definedName>
    <definedName name="BOB_Med_MDC_claimants_20_curr" hidden="1">#REF!</definedName>
    <definedName name="BOB_Med_MDC_claimants_21_curr" hidden="1">#REF!</definedName>
    <definedName name="BOB_Med_MDC_claimants_22_curr" hidden="1">#REF!</definedName>
    <definedName name="BOB_Med_MDC_claimants_23_curr" hidden="1">#REF!</definedName>
    <definedName name="BOB_Med_MDC_claimants_999_curr" hidden="1">#REF!</definedName>
    <definedName name="BOB_Med_MDC_days_00_curr" hidden="1">#REF!</definedName>
    <definedName name="BOB_Med_MDC_days_01_curr" hidden="1">#REF!</definedName>
    <definedName name="BOB_Med_MDC_days_02_curr" hidden="1">#REF!</definedName>
    <definedName name="BOB_Med_MDC_days_03_curr" hidden="1">#REF!</definedName>
    <definedName name="BOB_Med_MDC_days_04_curr" hidden="1">#REF!</definedName>
    <definedName name="BOB_Med_MDC_days_05_curr" hidden="1">#REF!</definedName>
    <definedName name="BOB_Med_MDC_days_06_curr" hidden="1">#REF!</definedName>
    <definedName name="BOB_Med_MDC_days_07_curr" hidden="1">#REF!</definedName>
    <definedName name="BOB_Med_MDC_days_08_curr" hidden="1">#REF!</definedName>
    <definedName name="BOB_Med_MDC_days_09_curr" hidden="1">#REF!</definedName>
    <definedName name="BOB_Med_MDC_days_10_curr" hidden="1">#REF!</definedName>
    <definedName name="BOB_Med_MDC_days_11_curr" hidden="1">#REF!</definedName>
    <definedName name="BOB_Med_MDC_days_12_curr" hidden="1">#REF!</definedName>
    <definedName name="BOB_Med_MDC_days_13_curr" hidden="1">#REF!</definedName>
    <definedName name="BOB_Med_MDC_days_14_curr" hidden="1">#REF!</definedName>
    <definedName name="BOB_Med_MDC_days_15_curr" hidden="1">#REF!</definedName>
    <definedName name="BOB_Med_MDC_days_16_curr" hidden="1">#REF!</definedName>
    <definedName name="BOB_Med_MDC_days_17_curr" hidden="1">#REF!</definedName>
    <definedName name="BOB_Med_MDC_days_18_curr" hidden="1">#REF!</definedName>
    <definedName name="BOB_Med_MDC_days_19_curr" hidden="1">#REF!</definedName>
    <definedName name="BOB_Med_MDC_days_20_curr" hidden="1">#REF!</definedName>
    <definedName name="BOB_Med_MDC_days_21_curr" hidden="1">#REF!</definedName>
    <definedName name="BOB_Med_MDC_days_22_curr" hidden="1">#REF!</definedName>
    <definedName name="BOB_Med_MDC_days_23_curr" hidden="1">#REF!</definedName>
    <definedName name="BOB_Med_MDC_days_999_curr" hidden="1">#REF!</definedName>
    <definedName name="BOB_Med_MDC_inp_paid_00_curr" hidden="1">#REF!</definedName>
    <definedName name="BOB_Med_MDC_inp_paid_01_curr" hidden="1">#REF!</definedName>
    <definedName name="BOB_Med_MDC_inp_paid_02_curr" hidden="1">#REF!</definedName>
    <definedName name="BOB_Med_MDC_inp_paid_03_curr" hidden="1">#REF!</definedName>
    <definedName name="BOB_Med_MDC_inp_paid_04_curr" hidden="1">#REF!</definedName>
    <definedName name="BOB_Med_MDC_inp_paid_05_curr" hidden="1">#REF!</definedName>
    <definedName name="BOB_Med_MDC_inp_paid_06_curr" hidden="1">#REF!</definedName>
    <definedName name="BOB_Med_MDC_inp_paid_07_curr" hidden="1">#REF!</definedName>
    <definedName name="BOB_Med_MDC_inp_paid_08_curr" hidden="1">#REF!</definedName>
    <definedName name="BOB_Med_MDC_inp_paid_09_curr" hidden="1">#REF!</definedName>
    <definedName name="BOB_Med_MDC_inp_paid_10_curr" hidden="1">#REF!</definedName>
    <definedName name="BOB_Med_MDC_inp_paid_11_curr" hidden="1">#REF!</definedName>
    <definedName name="BOB_Med_MDC_inp_paid_12_curr" hidden="1">#REF!</definedName>
    <definedName name="BOB_Med_MDC_inp_paid_13_curr" hidden="1">#REF!</definedName>
    <definedName name="BOB_Med_MDC_inp_paid_14_curr" hidden="1">#REF!</definedName>
    <definedName name="BOB_Med_MDC_inp_paid_15_curr" hidden="1">#REF!</definedName>
    <definedName name="BOB_Med_MDC_inp_paid_16_curr" hidden="1">#REF!</definedName>
    <definedName name="BOB_Med_MDC_inp_paid_17_curr" hidden="1">#REF!</definedName>
    <definedName name="BOB_Med_MDC_inp_paid_18_curr" hidden="1">#REF!</definedName>
    <definedName name="BOB_Med_MDC_inp_paid_19_curr" hidden="1">#REF!</definedName>
    <definedName name="BOB_Med_MDC_inp_paid_20_curr" hidden="1">#REF!</definedName>
    <definedName name="BOB_Med_MDC_inp_paid_21_curr" hidden="1">#REF!</definedName>
    <definedName name="BOB_Med_MDC_inp_paid_22_curr" hidden="1">#REF!</definedName>
    <definedName name="BOB_Med_MDC_inp_paid_23_curr" hidden="1">#REF!</definedName>
    <definedName name="BOB_Med_MDC_inp_paid_999_curr" hidden="1">#REF!</definedName>
    <definedName name="BOB_Med_MDC_paid_00_curr" hidden="1">#REF!</definedName>
    <definedName name="BOB_Med_MDC_paid_01_curr" hidden="1">#REF!</definedName>
    <definedName name="BOB_Med_MDC_paid_02_curr" hidden="1">#REF!</definedName>
    <definedName name="BOB_Med_MDC_paid_03_curr" hidden="1">#REF!</definedName>
    <definedName name="BOB_Med_MDC_paid_04_curr" hidden="1">#REF!</definedName>
    <definedName name="BOB_Med_MDC_paid_05_curr" hidden="1">#REF!</definedName>
    <definedName name="BOB_Med_MDC_paid_06_curr" hidden="1">#REF!</definedName>
    <definedName name="BOB_Med_MDC_paid_07_curr" hidden="1">#REF!</definedName>
    <definedName name="BOB_Med_MDC_paid_08_curr" hidden="1">#REF!</definedName>
    <definedName name="BOB_Med_MDC_paid_09_curr" hidden="1">#REF!</definedName>
    <definedName name="BOB_Med_MDC_paid_10_curr" hidden="1">#REF!</definedName>
    <definedName name="BOB_Med_MDC_paid_11_curr" hidden="1">#REF!</definedName>
    <definedName name="BOB_Med_MDC_paid_12_curr" hidden="1">#REF!</definedName>
    <definedName name="BOB_Med_MDC_paid_13_curr" hidden="1">#REF!</definedName>
    <definedName name="BOB_Med_MDC_paid_14_curr" hidden="1">#REF!</definedName>
    <definedName name="BOB_Med_MDC_paid_15_curr" hidden="1">#REF!</definedName>
    <definedName name="BOB_Med_MDC_paid_16_curr" hidden="1">#REF!</definedName>
    <definedName name="BOB_Med_MDC_paid_17_curr" hidden="1">#REF!</definedName>
    <definedName name="BOB_Med_MDC_paid_18_curr" hidden="1">#REF!</definedName>
    <definedName name="BOB_Med_MDC_paid_19_curr" hidden="1">#REF!</definedName>
    <definedName name="BOB_Med_MDC_paid_20_curr" hidden="1">#REF!</definedName>
    <definedName name="BOB_Med_MDC_paid_21_curr" hidden="1">#REF!</definedName>
    <definedName name="BOB_Med_MDC_paid_22_curr" hidden="1">#REF!</definedName>
    <definedName name="BOB_Med_MDC_paid_23_curr" hidden="1">#REF!</definedName>
    <definedName name="BOB_Med_MDC_paid_999_curr" hidden="1">#REF!</definedName>
    <definedName name="BOB_Med_months_curr" hidden="1">#REF!</definedName>
    <definedName name="BOB_Med_months_prior" hidden="1">#REF!</definedName>
    <definedName name="BOB_Med_num_employees_curr" hidden="1">#REF!</definedName>
    <definedName name="BOB_Med_num_employees_prior" hidden="1">#REF!</definedName>
    <definedName name="BOB_Med_num_members_curr" hidden="1">#REF!</definedName>
    <definedName name="BOB_Med_num_members_prior" hidden="1">#REF!</definedName>
    <definedName name="BOB_Med_office_visits_count_curr" hidden="1">#REF!</definedName>
    <definedName name="BOB_Med_office_visits_count_prior" hidden="1">#REF!</definedName>
    <definedName name="BOB_Med_paid_amt_above_threshold_curr" hidden="1">#REF!</definedName>
    <definedName name="BOB_Med_paid_amt_above_threshold_prior" hidden="1">#REF!</definedName>
    <definedName name="BOB_Med_paid_amt_amb_surgeries_curr" hidden="1">#REF!</definedName>
    <definedName name="BOB_Med_paid_amt_amb_surgeries_prior" hidden="1">#REF!</definedName>
    <definedName name="BOB_Med_paid_amt_amb_visits_curr" hidden="1">#REF!</definedName>
    <definedName name="BOB_Med_paid_amt_amb_visits_prior" hidden="1">#REF!</definedName>
    <definedName name="BOB_Med_paid_amt_curr" hidden="1">#REF!</definedName>
    <definedName name="BOB_Med_paid_amt_er_visits_curr" hidden="1">#REF!</definedName>
    <definedName name="BOB_Med_paid_amt_er_visits_prior" hidden="1">#REF!</definedName>
    <definedName name="BOB_Med_paid_amt_home_health_curr" hidden="1">#REF!</definedName>
    <definedName name="BOB_Med_paid_amt_home_health_prior" hidden="1">#REF!</definedName>
    <definedName name="BOB_Med_paid_amt_inp_days_curr" hidden="1">#REF!</definedName>
    <definedName name="BOB_Med_paid_amt_inp_days_prior" hidden="1">#REF!</definedName>
    <definedName name="BOB_Med_paid_amt_inp_surgeries_curr" hidden="1">#REF!</definedName>
    <definedName name="BOB_Med_paid_amt_inp_surgeries_prior" hidden="1">#REF!</definedName>
    <definedName name="BOB_Med_paid_amt_lab_serv_curr" hidden="1">#REF!</definedName>
    <definedName name="BOB_Med_paid_amt_lab_serv_prior" hidden="1">#REF!</definedName>
    <definedName name="BOB_Med_paid_amt_med_rx_curr" hidden="1">#REF!</definedName>
    <definedName name="BOB_Med_paid_amt_med_rx_prior" hidden="1">#REF!</definedName>
    <definedName name="BOB_Med_paid_amt_med_visits_curr" hidden="1">#REF!</definedName>
    <definedName name="BOB_Med_paid_amt_med_visits_prior" hidden="1">#REF!</definedName>
    <definedName name="BOB_Med_paid_amt_mental_health_curr" hidden="1">#REF!</definedName>
    <definedName name="BOB_Med_paid_amt_mental_health_prior" hidden="1">#REF!</definedName>
    <definedName name="BOB_Med_paid_amt_misc_med_curr" hidden="1">#REF!</definedName>
    <definedName name="BOB_Med_paid_amt_misc_med_prior" hidden="1">#REF!</definedName>
    <definedName name="BOB_Med_paid_amt_office_surgeries_curr" hidden="1">#REF!</definedName>
    <definedName name="BOB_Med_paid_amt_office_surgeries_prior" hidden="1">#REF!</definedName>
    <definedName name="BOB_Med_paid_amt_prim_off_visits_curr" hidden="1">#REF!</definedName>
    <definedName name="BOB_Med_paid_amt_prim_off_visits_prior" hidden="1">#REF!</definedName>
    <definedName name="BOB_Med_paid_amt_prior" hidden="1">#REF!</definedName>
    <definedName name="BOB_Med_paid_amt_rad_serv_curr" hidden="1">#REF!</definedName>
    <definedName name="BOB_Med_paid_amt_rad_serv_prior" hidden="1">#REF!</definedName>
    <definedName name="BOB_Med_paid_amt_spec_office_visits_curr" hidden="1">#REF!</definedName>
    <definedName name="BOB_Med_paid_amt_spec_office_visits_prior" hidden="1">#REF!</definedName>
    <definedName name="BOB_Med_paid_encounter_lab_rad_curr" hidden="1">#REF!</definedName>
    <definedName name="BOB_Med_paid_encounter_lab_rad_prior" hidden="1">#REF!</definedName>
    <definedName name="BOB_Med_paid_encounter_other_curr" hidden="1">#REF!</definedName>
    <definedName name="BOB_Med_paid_encounter_other_prior" hidden="1">#REF!</definedName>
    <definedName name="BOB_Med_paid_encounter_prim_phys_curr" hidden="1">#REF!</definedName>
    <definedName name="BOB_Med_paid_encounter_prim_phys_prior" hidden="1">#REF!</definedName>
    <definedName name="BOB_Med_paid_encounter_spec_phys_curr" hidden="1">#REF!</definedName>
    <definedName name="BOB_Med_paid_encounter_spec_phys_prior" hidden="1">#REF!</definedName>
    <definedName name="BOB_Med_paid_other_curr" hidden="1">#REF!</definedName>
    <definedName name="BOB_Med_paid_other_prior" hidden="1">#REF!</definedName>
    <definedName name="BOB_Med_par_admit_count_curr" hidden="1">#REF!</definedName>
    <definedName name="BOB_Med_par_admit_count_prior" hidden="1">#REF!</definedName>
    <definedName name="BOB_Med_par_paid_amt_curr" hidden="1">#REF!</definedName>
    <definedName name="BOB_Med_par_paid_amt_prior" hidden="1">#REF!</definedName>
    <definedName name="BOB_Med_par_phys_office_visits_count_curr" hidden="1">#REF!</definedName>
    <definedName name="BOB_Med_par_phys_office_visits_count_prior" hidden="1">#REF!</definedName>
    <definedName name="BOB_Med_phys_office_visits_count_curr" hidden="1">#REF!</definedName>
    <definedName name="BOB_Med_phys_office_visits_count_prior" hidden="1">#REF!</definedName>
    <definedName name="BOB_Med_surgery_count_curr" hidden="1">#REF!</definedName>
    <definedName name="BOB_Med_surgery_count_prior" hidden="1">#REF!</definedName>
    <definedName name="BOB_Med_threshold_curr" hidden="1">#REF!</definedName>
    <definedName name="BOB_Med_threshold_prior" hidden="1">#REF!</definedName>
    <definedName name="BOB_Med_unknown_mem_0_19_curr" hidden="1">#REF!</definedName>
    <definedName name="BOB_Med_unknown_mem_0_19_prior" hidden="1">#REF!</definedName>
    <definedName name="BOB_Med_unknown_mem_20_44_curr" hidden="1">#REF!</definedName>
    <definedName name="BOB_Med_unknown_mem_20_44_prior" hidden="1">#REF!</definedName>
    <definedName name="BOB_Med_unknown_mem_45_64_curr" hidden="1">#REF!</definedName>
    <definedName name="BOB_Med_unknown_mem_45_64_prior" hidden="1">#REF!</definedName>
    <definedName name="BOB_Med_unknown_mem_65_over_curr" hidden="1">#REF!</definedName>
    <definedName name="BOB_Med_unknown_mem_65_over_prior" hidden="1">#REF!</definedName>
    <definedName name="BOB_Med_unknown_members_curr" hidden="1">#REF!</definedName>
    <definedName name="BOB_Med_unknown_members_prior" hidden="1">#REF!</definedName>
    <definedName name="BOB_num_brand_multisource_claims_curr" hidden="1">#REF!</definedName>
    <definedName name="BOB_num_brand_multisource_claims_prior" hidden="1">#REF!</definedName>
    <definedName name="BOB_num_brand_singlesource_claims_curr" hidden="1">#REF!</definedName>
    <definedName name="BOB_num_brand_singlesource_claims_prior" hidden="1">#REF!</definedName>
    <definedName name="BOB_num_claims_curr" hidden="1">#REF!</definedName>
    <definedName name="BOB_num_claims_prior" hidden="1">#REF!</definedName>
    <definedName name="BOB_num_cross_brand_claims_curr" hidden="1">#REF!</definedName>
    <definedName name="BOB_num_cross_brand_claims_prior" hidden="1">#REF!</definedName>
    <definedName name="BOB_num_formulary_claims_curr" hidden="1">#REF!</definedName>
    <definedName name="BOB_num_formulary_claims_prior" hidden="1">#REF!</definedName>
    <definedName name="BOB_num_generic_claims_curr" hidden="1">#REF!</definedName>
    <definedName name="BOB_num_generic_claims_prior" hidden="1">#REF!</definedName>
    <definedName name="BOB_num_non_formulary_claims_curr" hidden="1">#REF!</definedName>
    <definedName name="BOB_num_non_formulary_claims_prior" hidden="1">#REF!</definedName>
    <definedName name="BOB_num_other_generic_claims_curr" hidden="1">#REF!</definedName>
    <definedName name="BOB_num_other_generic_claims_prior" hidden="1">#REF!</definedName>
    <definedName name="BOB_num_util_members_curr" hidden="1">#REF!</definedName>
    <definedName name="BOB_num_util_members_prior" hidden="1">#REF!</definedName>
    <definedName name="BOB_Rx_avg_age_members_curr" hidden="1">#REF!</definedName>
    <definedName name="BOB_Rx_avg_age_members_prior" hidden="1">#REF!</definedName>
    <definedName name="BOB_Rx_female_mem_0_19_curr" hidden="1">#REF!</definedName>
    <definedName name="BOB_Rx_female_mem_0_19_prior" hidden="1">#REF!</definedName>
    <definedName name="BOB_Rx_female_mem_20_44_curr" hidden="1">#REF!</definedName>
    <definedName name="BOB_Rx_female_mem_20_44_prior" hidden="1">#REF!</definedName>
    <definedName name="BOB_Rx_female_mem_45_64_curr" hidden="1">#REF!</definedName>
    <definedName name="BOB_Rx_female_mem_45_64_prior" hidden="1">#REF!</definedName>
    <definedName name="BOB_Rx_female_mem_65_over_curr" hidden="1">#REF!</definedName>
    <definedName name="BOB_Rx_female_mem_65_over_prior" hidden="1">#REF!</definedName>
    <definedName name="BOB_Rx_female_members_curr" hidden="1">#REF!</definedName>
    <definedName name="BOB_Rx_female_members_prior" hidden="1">#REF!</definedName>
    <definedName name="BOB_Rx_male_mem_0_19_curr" hidden="1">#REF!</definedName>
    <definedName name="BOB_Rx_male_mem_0_19_prior" hidden="1">#REF!</definedName>
    <definedName name="BOB_Rx_male_mem_20_44_curr" hidden="1">#REF!</definedName>
    <definedName name="BOB_Rx_male_mem_20_44_prior" hidden="1">#REF!</definedName>
    <definedName name="BOB_Rx_male_mem_45_64_curr" hidden="1">#REF!</definedName>
    <definedName name="BOB_Rx_male_mem_45_64_prior" hidden="1">#REF!</definedName>
    <definedName name="BOB_Rx_male_mem_65_over_curr" hidden="1">#REF!</definedName>
    <definedName name="BOB_Rx_male_mem_65_over_prior" hidden="1">#REF!</definedName>
    <definedName name="BOB_Rx_male_members_curr" hidden="1">#REF!</definedName>
    <definedName name="BOB_Rx_male_members_prior" hidden="1">#REF!</definedName>
    <definedName name="BOB_Rx_months_curr" hidden="1">#REF!</definedName>
    <definedName name="BOB_Rx_months_prior" hidden="1">#REF!</definedName>
    <definedName name="BOB_Rx_num_employees_curr" hidden="1">#REF!</definedName>
    <definedName name="BOB_Rx_num_employees_prior" hidden="1">#REF!</definedName>
    <definedName name="BOB_Rx_num_members_curr" hidden="1">#REF!</definedName>
    <definedName name="BOB_Rx_num_members_prior" hidden="1">#REF!</definedName>
    <definedName name="BOB_Rx_unknown_mem_0_19_curr" hidden="1">#REF!</definedName>
    <definedName name="BOB_Rx_unknown_mem_0_19_prior" hidden="1">#REF!</definedName>
    <definedName name="BOB_Rx_unknown_mem_20_44_curr" hidden="1">#REF!</definedName>
    <definedName name="BOB_Rx_unknown_mem_20_44_prior" hidden="1">#REF!</definedName>
    <definedName name="BOB_Rx_unknown_mem_45_64_curr" hidden="1">#REF!</definedName>
    <definedName name="BOB_Rx_unknown_mem_45_64_prior" hidden="1">#REF!</definedName>
    <definedName name="BOB_Rx_unknown_mem_65_over_curr" hidden="1">#REF!</definedName>
    <definedName name="BOB_Rx_unknown_mem_65_over_prior" hidden="1">#REF!</definedName>
    <definedName name="BOB_Rx_unknown_members_curr" hidden="1">#REF!</definedName>
    <definedName name="BOB_Rx_unknown_members_prior" hidden="1">#REF!</definedName>
    <definedName name="BOB_sum_brand_multisource_paid_amt_curr" hidden="1">#REF!</definedName>
    <definedName name="BOB_sum_brand_multisource_paid_amt_prior" hidden="1">#REF!</definedName>
    <definedName name="BOB_sum_brand_singlesource_paid_amt_curr" hidden="1">#REF!</definedName>
    <definedName name="BOB_sum_brand_singlesource_paid_amt_prior" hidden="1">#REF!</definedName>
    <definedName name="BOB_sum_cross_brand_paid_amt_curr" hidden="1">#REF!</definedName>
    <definedName name="BOB_sum_cross_brand_paid_amt_prior" hidden="1">#REF!</definedName>
    <definedName name="BOB_sum_formulary_paid_amt_curr" hidden="1">#REF!</definedName>
    <definedName name="BOB_sum_formulary_paid_amt_prior" hidden="1">#REF!</definedName>
    <definedName name="BOB_sum_generic_paid_amt_curr" hidden="1">#REF!</definedName>
    <definedName name="BOB_sum_generic_paid_amt_prior" hidden="1">#REF!</definedName>
    <definedName name="BOB_sum_non_formulary_paid_amt_curr" hidden="1">#REF!</definedName>
    <definedName name="BOB_sum_non_formulary_paid_amt_prior" hidden="1">#REF!</definedName>
    <definedName name="BOB_sum_other_generic_paid_amt_curr" hidden="1">#REF!</definedName>
    <definedName name="BOB_sum_other_generic_paid_amt_prior" hidden="1">#REF!</definedName>
    <definedName name="BOB_sum_paid_curr" hidden="1">#REF!</definedName>
    <definedName name="BOB_sum_paid_prior" hidden="1">#REF!</definedName>
    <definedName name="BOBDate" hidden="1">#REF!</definedName>
    <definedName name="brand_curr" hidden="1">#REF!</definedName>
    <definedName name="brand_prior" hidden="1">#REF!</definedName>
    <definedName name="BrandAverageCopay" hidden="1">#REF!</definedName>
    <definedName name="BrandMultiAverageCopay" hidden="1">#REF!</definedName>
    <definedName name="BrokerEnteredName" hidden="1">#REF!</definedName>
    <definedName name="BrokerEnteredTagLine" hidden="1">#REF!</definedName>
    <definedName name="Cap_capitation_amt_curr" hidden="1">#REF!</definedName>
    <definedName name="Cap_capitation_amt_prior" hidden="1">#REF!</definedName>
    <definedName name="CatClaimantThreshold" hidden="1">#REF!</definedName>
    <definedName name="Check_For_Account_Selection" hidden="1">#REF!</definedName>
    <definedName name="Check_For_Capitation_Product" hidden="1">#REF!</definedName>
    <definedName name="Check_For_Plan_Selection" hidden="1">#REF!</definedName>
    <definedName name="Check_For_Product_99" hidden="1">#REF!</definedName>
    <definedName name="Check_For_Split_Funded_Medical" hidden="1">#REF!</definedName>
    <definedName name="Check_Template_Type" hidden="1">#REF!</definedName>
    <definedName name="COBRA">#N/A</definedName>
    <definedName name="Column_Head_Start" localSheetId="18">#REF!</definedName>
    <definedName name="Column_Head_Start" localSheetId="20">#REF!</definedName>
    <definedName name="Column_Head_Start" localSheetId="19">#REF!</definedName>
    <definedName name="Column_Head_Start">#REF!</definedName>
    <definedName name="CombinedMonthlyPayment" localSheetId="18">#REF!</definedName>
    <definedName name="CombinedMonthlyPayment" localSheetId="20">#REF!</definedName>
    <definedName name="CombinedMonthlyPayment" localSheetId="19">#REF!</definedName>
    <definedName name="CombinedMonthlyPayment">#REF!</definedName>
    <definedName name="CombinedMonthlyPayment2" localSheetId="18">#REF!</definedName>
    <definedName name="CombinedMonthlyPayment2" localSheetId="20">#REF!</definedName>
    <definedName name="CombinedMonthlyPayment2" localSheetId="19">#REF!</definedName>
    <definedName name="CombinedMonthlyPayment2">#REF!</definedName>
    <definedName name="COMH">#N/A</definedName>
    <definedName name="comm" localSheetId="0">#REF!</definedName>
    <definedName name="comm" localSheetId="3">#REF!</definedName>
    <definedName name="comm" localSheetId="2">#REF!</definedName>
    <definedName name="comm" localSheetId="1">#REF!</definedName>
    <definedName name="comm" localSheetId="4">#REF!</definedName>
    <definedName name="comm" localSheetId="5">#REF!</definedName>
    <definedName name="comm" localSheetId="7">#REF!</definedName>
    <definedName name="comm" localSheetId="6">#REF!</definedName>
    <definedName name="comm">#REF!</definedName>
    <definedName name="COMM1" localSheetId="0">#REF!</definedName>
    <definedName name="COMM1" localSheetId="3">#REF!</definedName>
    <definedName name="COMM1" localSheetId="2">#REF!</definedName>
    <definedName name="COMM1" localSheetId="1">#REF!</definedName>
    <definedName name="COMM1" localSheetId="4">#REF!</definedName>
    <definedName name="COMM1" localSheetId="5">#REF!</definedName>
    <definedName name="COMM1" localSheetId="7">#REF!</definedName>
    <definedName name="COMM1" localSheetId="6">#REF!</definedName>
    <definedName name="COMM1">#REF!</definedName>
    <definedName name="COMM2" localSheetId="0">#REF!</definedName>
    <definedName name="COMM2" localSheetId="3">#REF!</definedName>
    <definedName name="COMM2" localSheetId="2">#REF!</definedName>
    <definedName name="COMM2" localSheetId="1">#REF!</definedName>
    <definedName name="COMM2" localSheetId="4">#REF!</definedName>
    <definedName name="COMM2" localSheetId="5">#REF!</definedName>
    <definedName name="COMM2" localSheetId="7">#REF!</definedName>
    <definedName name="COMM2" localSheetId="6">#REF!</definedName>
    <definedName name="COMM2">#REF!</definedName>
    <definedName name="CommunityRatedRow23Row27SIKeyStats" hidden="1">#REF!</definedName>
    <definedName name="COMPARE">#N/A</definedName>
    <definedName name="ConsLoanPayback" localSheetId="18">#REF!</definedName>
    <definedName name="ConsLoanPayback" localSheetId="20">#REF!</definedName>
    <definedName name="ConsLoanPayback" localSheetId="19">#REF!</definedName>
    <definedName name="ConsLoanPayback">#REF!</definedName>
    <definedName name="contacts">#REF!</definedName>
    <definedName name="Contract_Name" localSheetId="18">#REF!</definedName>
    <definedName name="Contract_Name" localSheetId="20">#REF!</definedName>
    <definedName name="Contract_Name" localSheetId="19">#REF!</definedName>
    <definedName name="Contract_Name">#REF!</definedName>
    <definedName name="ContributionLoad">#REF!</definedName>
    <definedName name="Contributions">#REF!</definedName>
    <definedName name="Control.Control" localSheetId="18">#REF!</definedName>
    <definedName name="Control.Control" localSheetId="20">#REF!</definedName>
    <definedName name="Control.Control" localSheetId="19">#REF!</definedName>
    <definedName name="Control.Control" localSheetId="23">#REF!</definedName>
    <definedName name="Control.Control" localSheetId="22">#REF!</definedName>
    <definedName name="Control.Control">#REF!</definedName>
    <definedName name="Cost_Sharing_Analysis_Dental_Range" hidden="1">#REF!</definedName>
    <definedName name="count2008" localSheetId="12">#REF!</definedName>
    <definedName name="count2008" localSheetId="13">#REF!</definedName>
    <definedName name="count2008">#REF!</definedName>
    <definedName name="count2009" localSheetId="12">#REF!</definedName>
    <definedName name="count2009" localSheetId="13">#REF!</definedName>
    <definedName name="count2009">#REF!</definedName>
    <definedName name="count2010" localSheetId="12">#REF!</definedName>
    <definedName name="count2010" localSheetId="13">#REF!</definedName>
    <definedName name="count2010">#REF!</definedName>
    <definedName name="COUNTER">#N/A</definedName>
    <definedName name="Cover_Page_Range" hidden="1">#REF!</definedName>
    <definedName name="Cover_Page_Run_Macros_Range" hidden="1">#REF!</definedName>
    <definedName name="CoverPageBrokerName" hidden="1">#REF!</definedName>
    <definedName name="CoverPageBrokerTagLine" hidden="1">#REF!</definedName>
    <definedName name="CoverPageHome" hidden="1">#REF!</definedName>
    <definedName name="CoverPageProduct" hidden="1">#REF!</definedName>
    <definedName name="curr_yyyymmdd_incurred_end_date" hidden="1">#REF!</definedName>
    <definedName name="curr_yyyymmdd_processed_end_date" hidden="1">#REF!</definedName>
    <definedName name="Current_Cat_End_Row_Number" hidden="1">#REF!</definedName>
    <definedName name="Current_Claims_Above_50K_Check" hidden="1">#REF!</definedName>
    <definedName name="d" hidden="1">{#N/A,#N/A,FALSE,"OfficeAssets"}</definedName>
    <definedName name="DA_Accumulator_Range" hidden="1">#REF!</definedName>
    <definedName name="DA_Capitation_Range" hidden="1">#REF!</definedName>
    <definedName name="DA_Dental_Range" hidden="1">#REF!</definedName>
    <definedName name="DA_Medical_Range" hidden="1">#REF!</definedName>
    <definedName name="DA_RX_Range" hidden="1">#REF!</definedName>
    <definedName name="Data_Area" localSheetId="18">#REF!</definedName>
    <definedName name="Data_Area" localSheetId="20">#REF!</definedName>
    <definedName name="Data_Area" localSheetId="19">#REF!</definedName>
    <definedName name="Data_Area">#REF!</definedName>
    <definedName name="Data_As_Of" localSheetId="18">#REF!</definedName>
    <definedName name="Data_As_Of" localSheetId="20">#REF!</definedName>
    <definedName name="Data_As_Of" localSheetId="19">#REF!</definedName>
    <definedName name="Data_As_Of">#REF!</definedName>
    <definedName name="Data_Availability_Summary_Home" hidden="1">#REF!</definedName>
    <definedName name="Data_Availability_Summary_Range" hidden="1">#REF!</definedName>
    <definedName name="Data_Claims">#REF!,#REF!,#REF!,#REF!,#REF!,#REF!</definedName>
    <definedName name="Data_RawFix">#REF!</definedName>
    <definedName name="Data_Reserves">#REF!,#REF!,#REF!,#REF!,#REF!</definedName>
    <definedName name="Data_Start" localSheetId="18">#REF!</definedName>
    <definedName name="Data_Start" localSheetId="20">#REF!</definedName>
    <definedName name="Data_Start" localSheetId="19">#REF!</definedName>
    <definedName name="Data_Start">#REF!</definedName>
    <definedName name="_xlnm.Database" localSheetId="18">#REF!</definedName>
    <definedName name="_xlnm.Database" localSheetId="20">#REF!</definedName>
    <definedName name="_xlnm.Database" localSheetId="19">#REF!</definedName>
    <definedName name="_xlnm.Database">#REF!</definedName>
    <definedName name="Date_Run" localSheetId="18">#REF!</definedName>
    <definedName name="Date_Run" localSheetId="20">#REF!</definedName>
    <definedName name="Date_Run" localSheetId="19">#REF!</definedName>
    <definedName name="Date_Run">#REF!</definedName>
    <definedName name="December20165" localSheetId="12">#REF!</definedName>
    <definedName name="December20165" localSheetId="13">#REF!</definedName>
    <definedName name="December20165">#REF!</definedName>
    <definedName name="def" hidden="1">{#N/A,#N/A,FALSE,"Paid Claims";#N/A,#N/A,FALSE,"Cumulative Paid Claims";#N/A,#N/A,FALSE,"Completion Ratios";#N/A,#N/A,FALSE,"Claim Reserve Analysis";#N/A,#N/A,FALSE,"Paid Claims % of Est Inc";#N/A,#N/A,FALSE,"Trends in Pure Premium";#N/A,#N/A,FALSE,"Trends in Paid Claims";#N/A,#N/A,FALSE,"Reserve Analysis"}</definedName>
    <definedName name="Demographics_Dental_Range" hidden="1">#REF!</definedName>
    <definedName name="Demographics_FI_Community_Graph_range" hidden="1">#REF!</definedName>
    <definedName name="Demographics_Medical_Range" hidden="1">#REF!</definedName>
    <definedName name="DENTAL" localSheetId="0">#REF!</definedName>
    <definedName name="DENTAL" localSheetId="3">#REF!</definedName>
    <definedName name="DENTAL" localSheetId="2">#REF!</definedName>
    <definedName name="DENTAL" localSheetId="1">#REF!</definedName>
    <definedName name="DENTAL" localSheetId="4">#REF!</definedName>
    <definedName name="DENTAL" localSheetId="5">#REF!</definedName>
    <definedName name="DENTAL" localSheetId="7">#REF!</definedName>
    <definedName name="DENTAL" localSheetId="6">#REF!</definedName>
    <definedName name="DENTAL">#REF!</definedName>
    <definedName name="Dental_avg_age_members_curr" hidden="1">#REF!</definedName>
    <definedName name="Dental_avg_age_members_prior" hidden="1">#REF!</definedName>
    <definedName name="Dental_basic_paid_amt_curr" hidden="1">#REF!</definedName>
    <definedName name="Dental_basic_paid_amt_prior" hidden="1">#REF!</definedName>
    <definedName name="Dental_basic_svcs_curr" hidden="1">#REF!</definedName>
    <definedName name="Dental_basic_svcs_prior" hidden="1">#REF!</definedName>
    <definedName name="Dental_cost_share_allowed_amt_curr" hidden="1">#REF!</definedName>
    <definedName name="Dental_cost_share_allowed_amt_prior" hidden="1">#REF!</definedName>
    <definedName name="Dental_cost_share_cob_amt_curr" hidden="1">#REF!</definedName>
    <definedName name="Dental_cost_share_cob_amt_prior" hidden="1">#REF!</definedName>
    <definedName name="Dental_cost_share_coins_amt_curr" hidden="1">#REF!</definedName>
    <definedName name="Dental_cost_share_coins_amt_prior" hidden="1">#REF!</definedName>
    <definedName name="Dental_cost_share_deductible_amt_curr" hidden="1">#REF!</definedName>
    <definedName name="Dental_cost_share_deductible_amt_prior" hidden="1">#REF!</definedName>
    <definedName name="Dental_dependent_paid_amt_curr" hidden="1">#REF!</definedName>
    <definedName name="Dental_dependent_paid_amt_prior" hidden="1">#REF!</definedName>
    <definedName name="Dental_employee_paid_amt_curr" hidden="1">#REF!</definedName>
    <definedName name="Dental_employee_paid_amt_prior" hidden="1">#REF!</definedName>
    <definedName name="Dental_female_mem_0_19_curr" hidden="1">#REF!</definedName>
    <definedName name="Dental_female_mem_0_19_prior" hidden="1">#REF!</definedName>
    <definedName name="Dental_female_mem_20_44_curr" hidden="1">#REF!</definedName>
    <definedName name="Dental_female_mem_20_44_prior" hidden="1">#REF!</definedName>
    <definedName name="Dental_female_mem_45_64_curr" hidden="1">#REF!</definedName>
    <definedName name="Dental_female_mem_45_64_prior" hidden="1">#REF!</definedName>
    <definedName name="Dental_female_mem_65_over_curr" hidden="1">#REF!</definedName>
    <definedName name="Dental_female_mem_65_over_prior" hidden="1">#REF!</definedName>
    <definedName name="Dental_female_members_curr" hidden="1">#REF!</definedName>
    <definedName name="Dental_female_members_prior" hidden="1">#REF!</definedName>
    <definedName name="Dental_Ingenix_Footnote" hidden="1">#REF!</definedName>
    <definedName name="Dental_key_results_network_discount_amt_curr" hidden="1">#REF!</definedName>
    <definedName name="Dental_key_results_network_discount_amt_prior" hidden="1">#REF!</definedName>
    <definedName name="Dental_key_results_network_paid_amt_curr" hidden="1">#REF!</definedName>
    <definedName name="Dental_key_results_network_paid_amt_prior" hidden="1">#REF!</definedName>
    <definedName name="Dental_key_results_rc_savings_amt_curr" hidden="1">#REF!</definedName>
    <definedName name="Dental_key_results_rc_savings_amt_prior" hidden="1">#REF!</definedName>
    <definedName name="Dental_major_paid_amt_curr" hidden="1">#REF!</definedName>
    <definedName name="Dental_major_paid_amt_prior" hidden="1">#REF!</definedName>
    <definedName name="Dental_major_svcs_curr" hidden="1">#REF!</definedName>
    <definedName name="Dental_major_svcs_prior" hidden="1">#REF!</definedName>
    <definedName name="Dental_male_mem_0_19_curr" hidden="1">#REF!</definedName>
    <definedName name="Dental_male_mem_0_19_prior" hidden="1">#REF!</definedName>
    <definedName name="Dental_male_mem_20_44_curr" hidden="1">#REF!</definedName>
    <definedName name="Dental_male_mem_20_44_prior" hidden="1">#REF!</definedName>
    <definedName name="Dental_male_mem_45_64_curr" hidden="1">#REF!</definedName>
    <definedName name="Dental_male_mem_45_64_prior" hidden="1">#REF!</definedName>
    <definedName name="Dental_male_mem_65_over_curr" hidden="1">#REF!</definedName>
    <definedName name="Dental_male_mem_65_over_prior" hidden="1">#REF!</definedName>
    <definedName name="Dental_male_members_curr" hidden="1">#REF!</definedName>
    <definedName name="Dental_male_members_prior" hidden="1">#REF!</definedName>
    <definedName name="Dental_months_curr" hidden="1">#REF!</definedName>
    <definedName name="Dental_months_prior" hidden="1">#REF!</definedName>
    <definedName name="Dental_net_submitted_in_network_curr" hidden="1">#REF!</definedName>
    <definedName name="Dental_net_submitted_in_network_prior" hidden="1">#REF!</definedName>
    <definedName name="Dental_net_submitted_other_curr" hidden="1">#REF!</definedName>
    <definedName name="Dental_net_submitted_other_prior" hidden="1">#REF!</definedName>
    <definedName name="Dental_net_submitted_out_network_curr" hidden="1">#REF!</definedName>
    <definedName name="Dental_net_submitted_out_network_prior" hidden="1">#REF!</definedName>
    <definedName name="Dental_network_discount_in_network_curr" hidden="1">#REF!</definedName>
    <definedName name="Dental_network_discount_in_network_prior" hidden="1">#REF!</definedName>
    <definedName name="Dental_network_discount_other_curr" hidden="1">#REF!</definedName>
    <definedName name="Dental_network_discount_other_prior" hidden="1">#REF!</definedName>
    <definedName name="Dental_network_discount_out_network_curr" hidden="1">#REF!</definedName>
    <definedName name="Dental_network_discount_out_network_prior" hidden="1">#REF!</definedName>
    <definedName name="Dental_num_employees_curr" hidden="1">#REF!</definedName>
    <definedName name="Dental_num_employees_prior" hidden="1">#REF!</definedName>
    <definedName name="Dental_num_members_curr" hidden="1">#REF!</definedName>
    <definedName name="Dental_num_members_prior" hidden="1">#REF!</definedName>
    <definedName name="Dental_OON_Footnote" hidden="1">#REF!</definedName>
    <definedName name="Dental_orthodonic_paid_amt_curr" hidden="1">#REF!</definedName>
    <definedName name="Dental_orthodonic_paid_amt_prior" hidden="1">#REF!</definedName>
    <definedName name="Dental_orthodonic_svcs_curr" hidden="1">#REF!</definedName>
    <definedName name="Dental_orthodonic_svcs_prior" hidden="1">#REF!</definedName>
    <definedName name="Dental_other_paid_amt_curr" hidden="1">#REF!</definedName>
    <definedName name="Dental_other_paid_amt_prior" hidden="1">#REF!</definedName>
    <definedName name="Dental_other_svcs_curr" hidden="1">#REF!</definedName>
    <definedName name="Dental_other_svcs_prior" hidden="1">#REF!</definedName>
    <definedName name="Dental_paid_amt_curr" hidden="1">#REF!</definedName>
    <definedName name="Dental_paid_amt_female_0_19_curr" hidden="1">#REF!</definedName>
    <definedName name="Dental_paid_amt_female_0_19_prior" hidden="1">#REF!</definedName>
    <definedName name="Dental_paid_amt_female_20_44_curr" hidden="1">#REF!</definedName>
    <definedName name="Dental_paid_amt_female_20_44_prior" hidden="1">#REF!</definedName>
    <definedName name="Dental_paid_amt_female_45_64_curr" hidden="1">#REF!</definedName>
    <definedName name="Dental_paid_amt_female_45_64_prior" hidden="1">#REF!</definedName>
    <definedName name="Dental_paid_amt_female_65_over_curr" hidden="1">#REF!</definedName>
    <definedName name="Dental_paid_amt_female_65_over_prior" hidden="1">#REF!</definedName>
    <definedName name="Dental_paid_amt_male_0_19_curr" hidden="1">#REF!</definedName>
    <definedName name="Dental_paid_amt_male_0_19_prior" hidden="1">#REF!</definedName>
    <definedName name="Dental_paid_amt_male_20_44_curr" hidden="1">#REF!</definedName>
    <definedName name="Dental_paid_amt_male_20_44_prior" hidden="1">#REF!</definedName>
    <definedName name="Dental_paid_amt_male_45_64_curr" hidden="1">#REF!</definedName>
    <definedName name="Dental_paid_amt_male_45_64_prior" hidden="1">#REF!</definedName>
    <definedName name="Dental_paid_amt_male_65_over_curr" hidden="1">#REF!</definedName>
    <definedName name="Dental_paid_amt_male_65_over_prior" hidden="1">#REF!</definedName>
    <definedName name="Dental_paid_amt_prior" hidden="1">#REF!</definedName>
    <definedName name="Dental_paid_amt_unknown_0_19_curr" hidden="1">#REF!</definedName>
    <definedName name="Dental_paid_amt_unknown_0_19_prior" hidden="1">#REF!</definedName>
    <definedName name="Dental_paid_amt_unknown_20_44_curr" hidden="1">#REF!</definedName>
    <definedName name="Dental_paid_amt_unknown_20_44_prior" hidden="1">#REF!</definedName>
    <definedName name="Dental_paid_amt_unknown_45_64_curr" hidden="1">#REF!</definedName>
    <definedName name="Dental_paid_amt_unknown_45_64_prior" hidden="1">#REF!</definedName>
    <definedName name="Dental_paid_amt_unknown_65_over_curr" hidden="1">#REF!</definedName>
    <definedName name="Dental_paid_amt_unknown_65_over_prior" hidden="1">#REF!</definedName>
    <definedName name="Dental_PPO_Max_Section_Check" hidden="1">#REF!</definedName>
    <definedName name="Dental_PPO_Section_Check" hidden="1">#REF!</definedName>
    <definedName name="Dental_preventative_paid_amt_curr" hidden="1">#REF!</definedName>
    <definedName name="Dental_preventative_paid_amt_prior" hidden="1">#REF!</definedName>
    <definedName name="Dental_preventative_svcs_curr" hidden="1">#REF!</definedName>
    <definedName name="Dental_preventative_svcs_prior" hidden="1">#REF!</definedName>
    <definedName name="Dental_rc_savings_in_network_curr" hidden="1">#REF!</definedName>
    <definedName name="Dental_rc_savings_in_network_prior" hidden="1">#REF!</definedName>
    <definedName name="Dental_rc_savings_other_curr" hidden="1">#REF!</definedName>
    <definedName name="Dental_rc_savings_other_prior" hidden="1">#REF!</definedName>
    <definedName name="Dental_rc_savings_out_network_curr" hidden="1">#REF!</definedName>
    <definedName name="Dental_rc_savings_out_network_prior" hidden="1">#REF!</definedName>
    <definedName name="Dental_services_in_network_curr" hidden="1">#REF!</definedName>
    <definedName name="Dental_services_in_network_prior" hidden="1">#REF!</definedName>
    <definedName name="Dental_services_other_curr" hidden="1">#REF!</definedName>
    <definedName name="Dental_services_other_prior" hidden="1">#REF!</definedName>
    <definedName name="Dental_services_out_network_curr" hidden="1">#REF!</definedName>
    <definedName name="Dental_services_out_network_prior" hidden="1">#REF!</definedName>
    <definedName name="Dental_unknown_mem_0_19_curr" hidden="1">#REF!</definedName>
    <definedName name="Dental_unknown_mem_0_19_prior" hidden="1">#REF!</definedName>
    <definedName name="Dental_unknown_mem_20_44_curr" hidden="1">#REF!</definedName>
    <definedName name="Dental_unknown_mem_20_44_prior" hidden="1">#REF!</definedName>
    <definedName name="Dental_unknown_mem_45_64_curr" hidden="1">#REF!</definedName>
    <definedName name="Dental_unknown_mem_45_64_prior" hidden="1">#REF!</definedName>
    <definedName name="Dental_unknown_mem_65_over_curr" hidden="1">#REF!</definedName>
    <definedName name="Dental_unknown_mem_65_over_prior" hidden="1">#REF!</definedName>
    <definedName name="Dental_unknown_members_curr" hidden="1">#REF!</definedName>
    <definedName name="Dental_unknown_members_prior" hidden="1">#REF!</definedName>
    <definedName name="DentalPlans">#REF!</definedName>
    <definedName name="descrip">#REF!</definedName>
    <definedName name="dffasdf" hidden="1">{#N/A,#N/A,FALSE,"Paid Claims";#N/A,#N/A,FALSE,"Cumulative Paid Claims";#N/A,#N/A,FALSE,"Completion Ratios";#N/A,#N/A,FALSE,"Claim Reserve Analysis";#N/A,#N/A,FALSE,"Paid Claims % of Est Inc";#N/A,#N/A,FALSE,"Trends in Pure Premium";#N/A,#N/A,FALSE,"Trends in Paid Claims";#N/A,#N/A,FALSE,"Reserve Analysis"}</definedName>
    <definedName name="DGF" hidden="1">#REF!</definedName>
    <definedName name="dhh" hidden="1">#REF!</definedName>
    <definedName name="DISA">#N/A</definedName>
    <definedName name="DISCLAIMER">#N/A</definedName>
    <definedName name="DrillDownBOBSIKeyStats" hidden="1">#REF!</definedName>
    <definedName name="DrillDownRow17Row27SIKeyStats" hidden="1">#REF!</definedName>
    <definedName name="DSFGDFG" hidden="1">#REF!</definedName>
    <definedName name="dsghfgh" hidden="1">#REF!</definedName>
    <definedName name="E_36_AVG_COST_EE">#REF!</definedName>
    <definedName name="E_36_COST_EE">#REF!</definedName>
    <definedName name="effdateor">#REF!</definedName>
    <definedName name="efftvdateor">#REF!</definedName>
    <definedName name="EIGHT">#N/A</definedName>
    <definedName name="ePSM_Dental_Graph_Page" hidden="1">#REF!</definedName>
    <definedName name="ePSM_Medical_Graph_Page_Range" hidden="1">#REF!</definedName>
    <definedName name="ePSM_Rx_Graph_Page" hidden="1">#REF!</definedName>
    <definedName name="ERAD">#N/A</definedName>
    <definedName name="EstimatedAnnualSalary" localSheetId="18">#REF!</definedName>
    <definedName name="EstimatedAnnualSalary" localSheetId="20">#REF!</definedName>
    <definedName name="EstimatedAnnualSalary" localSheetId="19">#REF!</definedName>
    <definedName name="EstimatedAnnualSalary">#REF!</definedName>
    <definedName name="EstimatedMonthlySalary" localSheetId="18">#REF!</definedName>
    <definedName name="EstimatedMonthlySalary" localSheetId="20">#REF!</definedName>
    <definedName name="EstimatedMonthlySalary" localSheetId="19">#REF!</definedName>
    <definedName name="EstimatedMonthlySalary">#REF!</definedName>
    <definedName name="exclude_large_claimant_ind" hidden="1">#REF!</definedName>
    <definedName name="Exclude_MDC_Range" hidden="1">#REF!</definedName>
    <definedName name="Exec_SUmmary_Default_text" hidden="1">#REF!</definedName>
    <definedName name="fag" hidden="1">#REF!</definedName>
    <definedName name="fdf" hidden="1">#REF!</definedName>
    <definedName name="fds" hidden="1">#REF!</definedName>
    <definedName name="FG" hidden="1">#REF!</definedName>
    <definedName name="FGHGHJGHJ" hidden="1">#REF!</definedName>
    <definedName name="FI_Demographics_Medical_Range" hidden="1">#REF!</definedName>
    <definedName name="FI_ER_Visits_1000_Members" hidden="1">#REF!</definedName>
    <definedName name="FI_ExclusionInd" hidden="1">#REF!</definedName>
    <definedName name="FI_EXEC_SUMMARY_RANGE_ROW66_ROW73" hidden="1">#REF!</definedName>
    <definedName name="FI_EXEC_SUMMARY_RANGE_ROW7_ROW73" hidden="1">#REF!</definedName>
    <definedName name="fi_exec_summary_row41" hidden="1">#REF!</definedName>
    <definedName name="fi_exec_summary_rows11" hidden="1">#REF!</definedName>
    <definedName name="fi_exec_summary_rows52_rows61" hidden="1">#REF!</definedName>
    <definedName name="fi_exec_summary_rows66_rows74" hidden="1">#REF!</definedName>
    <definedName name="fi_exec_summary_rows7_rows74" hidden="1">#REF!</definedName>
    <definedName name="FI_Executive_Summary_Home" hidden="1">#REF!</definedName>
    <definedName name="FI_Executive_Summary_Page" hidden="1">#REF!</definedName>
    <definedName name="FI_Executive_Summary_Page_NoData_Text" hidden="1">#REF!</definedName>
    <definedName name="FI_Executive_Summary_Range" hidden="1">#REF!</definedName>
    <definedName name="FI_Key_Statistics_Medical_Range" hidden="1">#REF!</definedName>
    <definedName name="FI_Key_Stats_BOB_Range" hidden="1">#REF!</definedName>
    <definedName name="FI_Key_Stats_Footnote1_Range" hidden="1">#REF!</definedName>
    <definedName name="FI_Key_Stats_Footnote2_Range" hidden="1">#REF!</definedName>
    <definedName name="FI_Key_Stats_Footnote3_Range" hidden="1">#REF!</definedName>
    <definedName name="FI_Key_Stats_Row36_Range" hidden="1">#REF!</definedName>
    <definedName name="FI_Key_Stats_Rows23_Rows27_Range" hidden="1">#REF!</definedName>
    <definedName name="FI_Provider_Network_Exp_Medical_Range" hidden="1">#REF!</definedName>
    <definedName name="FI_Rx_Key_Statistics_Range" hidden="1">#REF!</definedName>
    <definedName name="FI_Rx_Paid_Current" hidden="1">#REF!</definedName>
    <definedName name="FI_Trend_Analysis_Medical_Range" hidden="1">#REF!</definedName>
    <definedName name="Financial_Overview_Dental_Range" hidden="1">#REF!</definedName>
    <definedName name="Financial_Overview_Medical_Range" hidden="1">#REF!</definedName>
    <definedName name="FinancialOverviewCurr._3" hidden="1">#REF!</definedName>
    <definedName name="FinancialOverviewCurr._6" hidden="1">#REF!</definedName>
    <definedName name="FinancialOverviewCurr._7" hidden="1">#REF!</definedName>
    <definedName name="First_Time_Switch" hidden="1">#REF!</definedName>
    <definedName name="FIVE">#N/A</definedName>
    <definedName name="FO_Dental_report_has_xml_ind" hidden="1">#REF!</definedName>
    <definedName name="FORMAT">#N/A</definedName>
    <definedName name="formulary_curr" hidden="1">#REF!</definedName>
    <definedName name="formulary_prior" hidden="1">#REF!</definedName>
    <definedName name="FOUR">#N/A</definedName>
    <definedName name="FOV_01_Range" hidden="1">#REF!</definedName>
    <definedName name="FOV_02_Range" hidden="1">#REF!</definedName>
    <definedName name="FOV_03_Range" hidden="1">#REF!</definedName>
    <definedName name="FOV_04_Range" hidden="1">#REF!</definedName>
    <definedName name="FOV_05_Range" hidden="1">#REF!</definedName>
    <definedName name="FOV_06_Range" hidden="1">#REF!</definedName>
    <definedName name="FOV_07_Range" hidden="1">#REF!</definedName>
    <definedName name="FOV_08_Range" hidden="1">#REF!</definedName>
    <definedName name="FOV_09_Range" hidden="1">#REF!</definedName>
    <definedName name="FOV_10_Range" hidden="1">#REF!</definedName>
    <definedName name="FOV_11_Range" hidden="1">#REF!</definedName>
    <definedName name="FOV_12_Range" hidden="1">#REF!</definedName>
    <definedName name="FOV_13_Range" hidden="1">#REF!</definedName>
    <definedName name="FOV_14_Range" hidden="1">#REF!</definedName>
    <definedName name="FOV_15_Range" hidden="1">#REF!</definedName>
    <definedName name="FOV_30_Range" hidden="1">#REF!</definedName>
    <definedName name="FOV_40_Range" hidden="1">#REF!</definedName>
    <definedName name="FOV_41_Range" hidden="1">#REF!</definedName>
    <definedName name="FOV_42_Range" hidden="1">#REF!</definedName>
    <definedName name="FOV_43_Range" hidden="1">#REF!</definedName>
    <definedName name="FOV_44_Range" hidden="1">#REF!</definedName>
    <definedName name="FOV_45_Range" hidden="1">#REF!</definedName>
    <definedName name="FOV_46_Range" hidden="1">#REF!</definedName>
    <definedName name="FOV_47_Range" hidden="1">#REF!</definedName>
    <definedName name="FOV_48_Range" hidden="1">#REF!</definedName>
    <definedName name="FOV_49_Range" hidden="1">#REF!</definedName>
    <definedName name="FOV_50_Range" hidden="1">#REF!</definedName>
    <definedName name="FOV_51_Range" hidden="1">#REF!</definedName>
    <definedName name="FOV_52_Range" hidden="1">#REF!</definedName>
    <definedName name="FOV_53_Range" hidden="1">#REF!</definedName>
    <definedName name="FOV_54_Range" hidden="1">#REF!</definedName>
    <definedName name="FOV_55_Range" hidden="1">#REF!</definedName>
    <definedName name="FOV_56_Range" hidden="1">#REF!</definedName>
    <definedName name="FOV_57_Range" hidden="1">#REF!</definedName>
    <definedName name="FOV_58_Range" hidden="1">#REF!</definedName>
    <definedName name="FOV_59_Range" hidden="1">#REF!</definedName>
    <definedName name="FOV_68_Range" hidden="1">#REF!</definedName>
    <definedName name="FOV_69_Range" hidden="1">#REF!</definedName>
    <definedName name="FOV_70_Range" hidden="1">#REF!</definedName>
    <definedName name="FOV_71_Range" hidden="1">#REF!</definedName>
    <definedName name="FOV_72_Range" hidden="1">#REF!</definedName>
    <definedName name="FOV_73_Range" hidden="1">#REF!</definedName>
    <definedName name="FOV_74_Range" hidden="1">#REF!</definedName>
    <definedName name="FOV_75_Range" hidden="1">#REF!</definedName>
    <definedName name="FOV_76_Range" hidden="1">#REF!</definedName>
    <definedName name="FOV_99_Range" hidden="1">#REF!</definedName>
    <definedName name="FOV_DN_Range" hidden="1">#REF!</definedName>
    <definedName name="FOV_RX_Range" hidden="1">#REF!</definedName>
    <definedName name="FOV_SI_Dental_Range" hidden="1">#REF!</definedName>
    <definedName name="FOV_SI_Pharmacy_Range" hidden="1">#REF!</definedName>
    <definedName name="FOV_SI_Product_01_Range" hidden="1">#REF!</definedName>
    <definedName name="FOV_SI_Product_05_Range" hidden="1">#REF!</definedName>
    <definedName name="FundCode" hidden="1">#REF!</definedName>
    <definedName name="g" localSheetId="18">#REF!</definedName>
    <definedName name="g" localSheetId="20">#REF!</definedName>
    <definedName name="g" localSheetId="19">#REF!</definedName>
    <definedName name="g" localSheetId="23">#REF!</definedName>
    <definedName name="g" localSheetId="22">#REF!</definedName>
    <definedName name="g">#REF!</definedName>
    <definedName name="gaf" hidden="1">#REF!</definedName>
    <definedName name="generic_curr" hidden="1">#REF!</definedName>
    <definedName name="generic_prior" hidden="1">#REF!</definedName>
    <definedName name="generic_subst_curr" hidden="1">#REF!</definedName>
    <definedName name="generic_subst_prior" hidden="1">#REF!</definedName>
    <definedName name="generic_util_curr" hidden="1">#REF!</definedName>
    <definedName name="generic_util_prior" hidden="1">#REF!</definedName>
    <definedName name="GenericAverageCopay" hidden="1">#REF!</definedName>
    <definedName name="ges" hidden="1">#REF!</definedName>
    <definedName name="gfdg" hidden="1">#REF!</definedName>
    <definedName name="gfjhg" hidden="1">#REF!</definedName>
    <definedName name="ght" hidden="1">#REF!</definedName>
    <definedName name="gpi_name_class_A_curr" hidden="1">#REF!</definedName>
    <definedName name="gpi_name_class_A_prior" hidden="1">#REF!</definedName>
    <definedName name="gpi_name_class_B_curr" hidden="1">#REF!</definedName>
    <definedName name="gpi_name_class_B_prior" hidden="1">#REF!</definedName>
    <definedName name="gpi_name_class_C_curr" hidden="1">#REF!</definedName>
    <definedName name="gpi_name_class_C_prior" hidden="1">#REF!</definedName>
    <definedName name="gpi_name_class_D_curr" hidden="1">#REF!</definedName>
    <definedName name="gpi_name_class_D_prior" hidden="1">#REF!</definedName>
    <definedName name="gpi_name_class_E_curr" hidden="1">#REF!</definedName>
    <definedName name="gpi_name_class_E_prior" hidden="1">#REF!</definedName>
    <definedName name="gpi_name_class_F_curr" hidden="1">#REF!</definedName>
    <definedName name="gpi_name_class_F_prior" hidden="1">#REF!</definedName>
    <definedName name="gpi_name_class_G_curr" hidden="1">#REF!</definedName>
    <definedName name="gpi_name_class_G_prior" hidden="1">#REF!</definedName>
    <definedName name="gpi_name_class_H_curr" hidden="1">#REF!</definedName>
    <definedName name="gpi_name_class_H_prior" hidden="1">#REF!</definedName>
    <definedName name="gpi_name_class_I_curr" hidden="1">#REF!</definedName>
    <definedName name="gpi_name_class_I_prior" hidden="1">#REF!</definedName>
    <definedName name="gpi_name_class_J_curr" hidden="1">#REF!</definedName>
    <definedName name="gpi_name_class_J_prior" hidden="1">#REF!</definedName>
    <definedName name="gpi_name_class_K_curr" hidden="1">#REF!</definedName>
    <definedName name="gpi_name_class_K_prior" hidden="1">#REF!</definedName>
    <definedName name="gpi_name_class_L_curr" hidden="1">#REF!</definedName>
    <definedName name="gpi_name_class_L_prior" hidden="1">#REF!</definedName>
    <definedName name="gpi_name_class_M_curr" hidden="1">#REF!</definedName>
    <definedName name="gpi_name_class_M_prior" hidden="1">#REF!</definedName>
    <definedName name="gpi_name_class_N_curr" hidden="1">#REF!</definedName>
    <definedName name="gpi_name_class_N_prior" hidden="1">#REF!</definedName>
    <definedName name="gpi_name_class_O_curr" hidden="1">#REF!</definedName>
    <definedName name="gpi_name_class_O_prior" hidden="1">#REF!</definedName>
    <definedName name="gpi_name_class_OTHER_curr" hidden="1">#REF!</definedName>
    <definedName name="gpi_name_class_OTHER_prior" hidden="1">#REF!</definedName>
    <definedName name="gpi_name_class_P_curr" hidden="1">#REF!</definedName>
    <definedName name="gpi_name_class_P_prior" hidden="1">#REF!</definedName>
    <definedName name="gpi_name_class_Q_curr" hidden="1">#REF!</definedName>
    <definedName name="gpi_name_class_Q_prior" hidden="1">#REF!</definedName>
    <definedName name="gpi_name_class_R_curr" hidden="1">#REF!</definedName>
    <definedName name="gpi_name_class_R_prior" hidden="1">#REF!</definedName>
    <definedName name="gre" hidden="1">#REF!</definedName>
    <definedName name="Group" localSheetId="18">#REF!</definedName>
    <definedName name="Group" localSheetId="20">#REF!</definedName>
    <definedName name="Group" localSheetId="19">#REF!</definedName>
    <definedName name="Group">#REF!</definedName>
    <definedName name="Group_ID" localSheetId="18">#REF!</definedName>
    <definedName name="Group_ID" localSheetId="20">#REF!</definedName>
    <definedName name="Group_ID" localSheetId="19">#REF!</definedName>
    <definedName name="Group_ID">#REF!</definedName>
    <definedName name="GroupSizeLoad">#REF!</definedName>
    <definedName name="GrpHlth" hidden="1">{#N/A,#N/A,FALSE,"Paid Claims";#N/A,#N/A,FALSE,"Cumulative Paid Claims";#N/A,#N/A,FALSE,"Completion Ratios";#N/A,#N/A,FALSE,"Claim Reserve Analysis";#N/A,#N/A,FALSE,"Paid Claims % of Est Inc";#N/A,#N/A,FALSE,"Trends in Pure Premium";#N/A,#N/A,FALSE,"Trends in Paid Claims";#N/A,#N/A,FALSE,"Reserve Analysis"}</definedName>
    <definedName name="h" hidden="1">{#N/A,#N/A,TRUE,"B&amp;M Med";#N/A,#N/A,TRUE,"CMED";#N/A,#N/A,TRUE,"Dental";#N/A,#N/A,TRUE,"Dev_Fund";#N/A,#N/A,TRUE,"SFGP Factor Calculation";#N/A,#N/A,TRUE,"Summary of Monthly Billing"}</definedName>
    <definedName name="Health_Profile_Top_10_Dis_Med_HPD_Range" hidden="1">#REF!</definedName>
    <definedName name="hello" localSheetId="18">#REF!</definedName>
    <definedName name="hello" localSheetId="20">#REF!</definedName>
    <definedName name="hello" localSheetId="19">#REF!</definedName>
    <definedName name="hello">#REF!</definedName>
    <definedName name="hgf" hidden="1">#REF!</definedName>
    <definedName name="HJKHJKKJ" hidden="1">#REF!</definedName>
    <definedName name="HMOBase">#REF!</definedName>
    <definedName name="HMOMedtrend">#REF!</definedName>
    <definedName name="HMORidertrend">#REF!</definedName>
    <definedName name="hospcost" localSheetId="0">#REF!</definedName>
    <definedName name="hospcost" localSheetId="3">#REF!</definedName>
    <definedName name="hospcost" localSheetId="2">#REF!</definedName>
    <definedName name="hospcost" localSheetId="1">#REF!</definedName>
    <definedName name="hospcost" localSheetId="4">#REF!</definedName>
    <definedName name="hospcost" localSheetId="5">#REF!</definedName>
    <definedName name="hospcost" localSheetId="7">#REF!</definedName>
    <definedName name="hospcost" localSheetId="6">#REF!</definedName>
    <definedName name="hospcost">#REF!</definedName>
    <definedName name="Hospital_Profile_Home" hidden="1">#REF!</definedName>
    <definedName name="Hospital_Profile_Medical_Range" hidden="1">#REF!</definedName>
    <definedName name="Hospital_Profile_Medical_Range2" hidden="1">#REF!</definedName>
    <definedName name="Hospital_Profile_Range" hidden="1">#REF!</definedName>
    <definedName name="HOSPITALS">#N/A</definedName>
    <definedName name="HPD_bob_prevalence_asthma_curr" hidden="1">#REF!</definedName>
    <definedName name="HPD_bob_prevalence_asthma_prior" hidden="1">#REF!</definedName>
    <definedName name="HPD_bob_prevalence_coronary_artery_disease_curr" hidden="1">#REF!</definedName>
    <definedName name="HPD_bob_prevalence_coronary_artery_disease_prior" hidden="1">#REF!</definedName>
    <definedName name="HPD_bob_prevalence_diabetes_curr" hidden="1">#REF!</definedName>
    <definedName name="HPD_bob_prevalence_diabetes_prior" hidden="1">#REF!</definedName>
    <definedName name="HPD_bob_prevalence_heart_failure_curr" hidden="1">#REF!</definedName>
    <definedName name="HPD_bob_prevalence_heart_failure_prior" hidden="1">#REF!</definedName>
    <definedName name="HPD_bob_prevalence_low_back_curr" hidden="1">#REF!</definedName>
    <definedName name="HPD_bob_prevalence_low_back_prior" hidden="1">#REF!</definedName>
    <definedName name="HPD_bob_prevalence_other_curr" hidden="1">#REF!</definedName>
    <definedName name="HPD_bob_prevalence_other_prior" hidden="1">#REF!</definedName>
    <definedName name="HPD_Delete_Range" hidden="1">#REF!</definedName>
    <definedName name="hpd_hard_coded_bob" hidden="1">#REF!</definedName>
    <definedName name="HPD_No_Obs_Found_Range" hidden="1">#REF!</definedName>
    <definedName name="HPD_number_claimants_asthma_curr" hidden="1">#REF!</definedName>
    <definedName name="HPD_number_claimants_asthma_prior" hidden="1">#REF!</definedName>
    <definedName name="HPD_number_claimants_coronary_artery_disease_curr" hidden="1">#REF!</definedName>
    <definedName name="HPD_number_claimants_coronary_artery_disease_prior" hidden="1">#REF!</definedName>
    <definedName name="HPD_number_claimants_diabetes_curr" hidden="1">#REF!</definedName>
    <definedName name="HPD_number_claimants_diabetes_prior" hidden="1">#REF!</definedName>
    <definedName name="HPD_number_claimants_heart_failure_curr" hidden="1">#REF!</definedName>
    <definedName name="HPD_number_claimants_heart_failure_prior" hidden="1">#REF!</definedName>
    <definedName name="HPD_number_claimants_low_back_curr" hidden="1">#REF!</definedName>
    <definedName name="HPD_number_claimants_low_back_prior" hidden="1">#REF!</definedName>
    <definedName name="HPD_number_claimants_other_curr" hidden="1">#REF!</definedName>
    <definedName name="HPD_number_claimants_other_prior" hidden="1">#REF!</definedName>
    <definedName name="HPD_number_claimants_total_curr" hidden="1">#REF!</definedName>
    <definedName name="HPD_number_claimants_total_prior" hidden="1">#REF!</definedName>
    <definedName name="HPD_paid_amt_asthma_curr" hidden="1">#REF!</definedName>
    <definedName name="HPD_paid_amt_asthma_prior" hidden="1">#REF!</definedName>
    <definedName name="HPD_paid_amt_coronary_artery_disease_curr" hidden="1">#REF!</definedName>
    <definedName name="HPD_paid_amt_coronary_artery_disease_prior" hidden="1">#REF!</definedName>
    <definedName name="HPD_paid_amt_diabetes_curr" hidden="1">#REF!</definedName>
    <definedName name="HPD_paid_amt_diabetes_prior" hidden="1">#REF!</definedName>
    <definedName name="HPD_paid_amt_heart_failure_curr" hidden="1">#REF!</definedName>
    <definedName name="HPD_paid_amt_heart_failure_prior" hidden="1">#REF!</definedName>
    <definedName name="HPD_paid_amt_low_back_curr" hidden="1">#REF!</definedName>
    <definedName name="HPD_paid_amt_low_back_prior" hidden="1">#REF!</definedName>
    <definedName name="HPD_paid_amt_other_curr" hidden="1">#REF!</definedName>
    <definedName name="HPD_paid_amt_other_prior" hidden="1">#REF!</definedName>
    <definedName name="HPD_paid_amt_total_curr" hidden="1">#REF!</definedName>
    <definedName name="HPD_paid_amt_total_prior" hidden="1">#REF!</definedName>
    <definedName name="HPD_Rows_6_7" hidden="1">#REF!</definedName>
    <definedName name="HPD_total_population_curr" hidden="1">#REF!</definedName>
    <definedName name="HPD_total_population_prior" hidden="1">#REF!</definedName>
    <definedName name="hsptl" localSheetId="0">#REF!</definedName>
    <definedName name="hsptl" localSheetId="3">#REF!</definedName>
    <definedName name="hsptl" localSheetId="2">#REF!</definedName>
    <definedName name="hsptl" localSheetId="1">#REF!</definedName>
    <definedName name="hsptl" localSheetId="4">#REF!</definedName>
    <definedName name="hsptl" localSheetId="5">#REF!</definedName>
    <definedName name="hsptl" localSheetId="7">#REF!</definedName>
    <definedName name="hsptl" localSheetId="6">#REF!</definedName>
    <definedName name="hsptl">#REF!</definedName>
    <definedName name="impact_na_range1" hidden="1">#REF!</definedName>
    <definedName name="Impact_of_Catastrophic_Medical_Range" hidden="1">#REF!</definedName>
    <definedName name="ImportData" localSheetId="18">#REF!</definedName>
    <definedName name="ImportData" localSheetId="20">#REF!</definedName>
    <definedName name="ImportData" localSheetId="19">#REF!</definedName>
    <definedName name="ImportData">#REF!</definedName>
    <definedName name="In_Label" localSheetId="18">#REF!</definedName>
    <definedName name="In_Label" localSheetId="20">#REF!</definedName>
    <definedName name="In_Label" localSheetId="19">#REF!</definedName>
    <definedName name="In_Label">#REF!</definedName>
    <definedName name="IncEndDateCurr" hidden="1">#REF!</definedName>
    <definedName name="IncEndDatePrior" hidden="1">#REF!</definedName>
    <definedName name="IncStartDateCurr" hidden="1">#REF!</definedName>
    <definedName name="IncStartDatePrior" hidden="1">#REF!</definedName>
    <definedName name="InputTbl" localSheetId="0">#REF!</definedName>
    <definedName name="InputTbl" localSheetId="3">#REF!</definedName>
    <definedName name="InputTbl" localSheetId="2">#REF!</definedName>
    <definedName name="InputTbl" localSheetId="1">#REF!</definedName>
    <definedName name="InputTbl" localSheetId="4">#REF!</definedName>
    <definedName name="InputTbl" localSheetId="5">#REF!</definedName>
    <definedName name="InputTbl" localSheetId="7">#REF!</definedName>
    <definedName name="InputTbl" localSheetId="6">#REF!</definedName>
    <definedName name="InputTbl">#REF!</definedName>
    <definedName name="IP_MDC_Analysis_Medical_Range" hidden="1">#REF!</definedName>
    <definedName name="ip_mdc_na_bob_column1" hidden="1">#REF!</definedName>
    <definedName name="IPWt" localSheetId="0">#REF!</definedName>
    <definedName name="IPWt" localSheetId="3">#REF!</definedName>
    <definedName name="IPWt" localSheetId="2">#REF!</definedName>
    <definedName name="IPWt" localSheetId="1">#REF!</definedName>
    <definedName name="IPWt" localSheetId="4">#REF!</definedName>
    <definedName name="IPWt" localSheetId="5">#REF!</definedName>
    <definedName name="IPWt" localSheetId="7">#REF!</definedName>
    <definedName name="IPWt" localSheetId="6">#REF!</definedName>
    <definedName name="IPWt">#REF!</definedName>
    <definedName name="j" hidden="1">{#N/A,#N/A,FALSE,"Summary of Monthly Billing";#N/A,#N/A,FALSE,"Narrative  ";#N/A,#N/A,FALSE,"Exp Analysis - RX";#N/A,#N/A,FALSE,"Experience Analysis for Funding";#N/A,#N/A,FALSE,"Development of Funding Reqrmnts";#N/A,#N/A,FALSE,"SFGP Factor Calculation";#N/A,#N/A,FALSE,"Official Notification Letter"}</definedName>
    <definedName name="jffjg" hidden="1">#REF!</definedName>
    <definedName name="jg" hidden="1">#REF!</definedName>
    <definedName name="jgh" hidden="1">#REF!</definedName>
    <definedName name="JULY2017" localSheetId="12">#REF!</definedName>
    <definedName name="JULY2017" localSheetId="13">#REF!</definedName>
    <definedName name="JULY2017">#REF!</definedName>
    <definedName name="JULY2020">#REF!</definedName>
    <definedName name="JULY2021">#REF!</definedName>
    <definedName name="June2017" localSheetId="12">#REF!</definedName>
    <definedName name="June2017" localSheetId="13">#REF!</definedName>
    <definedName name="June2017">#REF!</definedName>
    <definedName name="JUNE2019" localSheetId="12">#REF!</definedName>
    <definedName name="JUNE2019" localSheetId="13">#REF!</definedName>
    <definedName name="JUNE2019">#REF!</definedName>
    <definedName name="JUNE2020">#REF!</definedName>
    <definedName name="Kaiser" localSheetId="18">OFFSET(#REF!,0,0,COUNTA(#REF!))</definedName>
    <definedName name="Kaiser" localSheetId="20">OFFSET(#REF!,0,0,COUNTA(#REF!))</definedName>
    <definedName name="Kaiser" localSheetId="19">OFFSET(#REF!,0,0,COUNTA(#REF!))</definedName>
    <definedName name="Kaiser">OFFSET(#REF!,0,0,COUNTA(#REF!))</definedName>
    <definedName name="Key_Statistics_Dental_Range" hidden="1">#REF!</definedName>
    <definedName name="Key_Statistics_Medical_Range" hidden="1">#REF!</definedName>
    <definedName name="kjh" hidden="1">#REF!</definedName>
    <definedName name="kt" localSheetId="18">'Kais 200 vs Reg 400'!kt</definedName>
    <definedName name="kt" localSheetId="20">'Kais 500 vs Reg 500 '!kt</definedName>
    <definedName name="kt" localSheetId="19">'Kais HDHP vs Reg HDHP'!kt</definedName>
    <definedName name="kt">#REF!</definedName>
    <definedName name="l">#N/A</definedName>
    <definedName name="L_36_AVG_COST_EE">#REF!</definedName>
    <definedName name="L_36_COST_EE">#REF!</definedName>
    <definedName name="Laga" localSheetId="18">'Kais 200 vs Reg 400'!Laga</definedName>
    <definedName name="Laga" localSheetId="20">'Kais 500 vs Reg 500 '!Laga</definedName>
    <definedName name="Laga" localSheetId="19">'Kais HDHP vs Reg HDHP'!Laga</definedName>
    <definedName name="Laga">#REF!</definedName>
    <definedName name="LargeC1" localSheetId="12">#REF!</definedName>
    <definedName name="LargeC1" localSheetId="13">#REF!</definedName>
    <definedName name="LargeC1">#REF!</definedName>
    <definedName name="lastdate">#REF!</definedName>
    <definedName name="level_c_d_user_ind" hidden="1">#REF!</definedName>
    <definedName name="LoanPaybackStart" localSheetId="18">#REF!</definedName>
    <definedName name="LoanPaybackStart" localSheetId="20">#REF!</definedName>
    <definedName name="LoanPaybackStart" localSheetId="19">#REF!</definedName>
    <definedName name="LoanPaybackStart">#REF!</definedName>
    <definedName name="LoanStartLToday" localSheetId="18">IF('Kais 200 vs Reg 400'!LoanPaybackStart&lt;TODAY(),TRUE,FALSE)</definedName>
    <definedName name="LoanStartLToday" localSheetId="20">IF('Kais 500 vs Reg 500 '!LoanPaybackStart&lt;TODAY(),TRUE,FALSE)</definedName>
    <definedName name="LoanStartLToday" localSheetId="19">IF('Kais HDHP vs Reg HDHP'!LoanPaybackStart&lt;TODAY(),TRUE,FALSE)</definedName>
    <definedName name="LoanStartLToday" localSheetId="24">IF([0]!LoanPaybackStart&lt;TODAY(),TRUE,FALSE)</definedName>
    <definedName name="LoanStartLToday" localSheetId="23">IF([0]!LoanPaybackStart&lt;TODAY(),TRUE,FALSE)</definedName>
    <definedName name="LoanStartLToday" localSheetId="22">IF([0]!LoanPaybackStart&lt;TODAY(),TRUE,FALSE)</definedName>
    <definedName name="LoanStartLToday" localSheetId="21">IF([0]!LoanPaybackStart&lt;TODAY(),TRUE,FALSE)</definedName>
    <definedName name="LoanStartLToday">IF(LoanPaybackStart&lt;TODAY(),TRUE,FALSE)</definedName>
    <definedName name="Logo" localSheetId="18">'Kais 200 vs Reg 400'!Logo</definedName>
    <definedName name="Logo" localSheetId="20">'Kais 500 vs Reg 500 '!Logo</definedName>
    <definedName name="Logo" localSheetId="19">'Kais HDHP vs Reg HDHP'!Logo</definedName>
    <definedName name="Logo">#REF!</definedName>
    <definedName name="lookup_report_name" hidden="1">#REF!</definedName>
    <definedName name="Low_Threshold" hidden="1">#REF!</definedName>
    <definedName name="lstMetrics" localSheetId="18">OFFSET(#REF!,0,0,COUNTA(#REF!))</definedName>
    <definedName name="lstMetrics" localSheetId="20">OFFSET(#REF!,0,0,COUNTA(#REF!))</definedName>
    <definedName name="lstMetrics" localSheetId="19">OFFSET(#REF!,0,0,COUNTA(#REF!))</definedName>
    <definedName name="lstMetrics">OFFSET(#REF!,0,0,COUNTA(#REF!))</definedName>
    <definedName name="lstYears" localSheetId="18">OFFSET(#REF!,0,1,1,COUNTA(#REF!)-1)</definedName>
    <definedName name="lstYears" localSheetId="20">OFFSET(#REF!,0,1,1,COUNTA(#REF!)-1)</definedName>
    <definedName name="lstYears" localSheetId="19">OFFSET(#REF!,0,1,1,COUNTA(#REF!)-1)</definedName>
    <definedName name="lstYears">OFFSET(#REF!,0,1,1,COUNTA(#REF!)-1)</definedName>
    <definedName name="m" localSheetId="18">#REF!</definedName>
    <definedName name="m" localSheetId="20">#REF!</definedName>
    <definedName name="m" localSheetId="19">#REF!</definedName>
    <definedName name="M">#REF!</definedName>
    <definedName name="Maile">#REF!</definedName>
    <definedName name="march2020">#REF!</definedName>
    <definedName name="MARCH2022">#REF!</definedName>
    <definedName name="Master1" localSheetId="0">#REF!</definedName>
    <definedName name="Master1" localSheetId="3">#REF!</definedName>
    <definedName name="Master1" localSheetId="2">#REF!</definedName>
    <definedName name="Master1" localSheetId="1">#REF!</definedName>
    <definedName name="Master1" localSheetId="4">#REF!</definedName>
    <definedName name="Master1" localSheetId="5">#REF!</definedName>
    <definedName name="Master1" localSheetId="7">#REF!</definedName>
    <definedName name="Master1" localSheetId="6">#REF!</definedName>
    <definedName name="Master1">#REF!</definedName>
    <definedName name="MDC_Analysis_Medical_Range" hidden="1">#REF!</definedName>
    <definedName name="MDC_CD_00" hidden="1">#REF!</definedName>
    <definedName name="MDC_CD_01" hidden="1">#REF!</definedName>
    <definedName name="MDC_CD_02" hidden="1">#REF!</definedName>
    <definedName name="MDC_CD_03" hidden="1">#REF!</definedName>
    <definedName name="MDC_CD_04" hidden="1">#REF!</definedName>
    <definedName name="MDC_CD_05" hidden="1">#REF!</definedName>
    <definedName name="MDC_CD_06" hidden="1">#REF!</definedName>
    <definedName name="MDC_CD_07" hidden="1">#REF!</definedName>
    <definedName name="MDC_CD_08" hidden="1">#REF!</definedName>
    <definedName name="MDC_CD_09" hidden="1">#REF!</definedName>
    <definedName name="MDC_CD_10" hidden="1">#REF!</definedName>
    <definedName name="MDC_CD_11" hidden="1">#REF!</definedName>
    <definedName name="MDC_CD_12" hidden="1">#REF!</definedName>
    <definedName name="MDC_CD_13" hidden="1">#REF!</definedName>
    <definedName name="MDC_CD_14" hidden="1">#REF!</definedName>
    <definedName name="MDC_CD_15" hidden="1">#REF!</definedName>
    <definedName name="MDC_CD_16" hidden="1">#REF!</definedName>
    <definedName name="MDC_CD_17" hidden="1">#REF!</definedName>
    <definedName name="MDC_CD_18" hidden="1">#REF!</definedName>
    <definedName name="MDC_CD_19" hidden="1">#REF!</definedName>
    <definedName name="MDC_CD_20" hidden="1">#REF!</definedName>
    <definedName name="MDC_CD_21" hidden="1">#REF!</definedName>
    <definedName name="MDC_CD_22" hidden="1">#REF!</definedName>
    <definedName name="MDC_CD_23" hidden="1">#REF!</definedName>
    <definedName name="MDC_MDC_Label" hidden="1">#REF!</definedName>
    <definedName name="MDC_MDC_Label_Paste" hidden="1">#REF!</definedName>
    <definedName name="mdc_na_bob_column1" hidden="1">#REF!</definedName>
    <definedName name="mdc_na_bob_column2" hidden="1">#REF!</definedName>
    <definedName name="mdc_na_bob_column3" hidden="1">#REF!</definedName>
    <definedName name="MDC_Range_C7_G8" hidden="1">#REF!</definedName>
    <definedName name="MDC_Range_I7" hidden="1">#REF!</definedName>
    <definedName name="MDC_Range_I7_S8" hidden="1">#REF!</definedName>
    <definedName name="MDC_Range_I8" hidden="1">#REF!</definedName>
    <definedName name="MDC_Range_J9_K33" hidden="1">#REF!</definedName>
    <definedName name="MDC_Range_L9_M33" hidden="1">#REF!</definedName>
    <definedName name="MDC_Range_N9_O33" hidden="1">#REF!</definedName>
    <definedName name="MDC_Range_Row8" hidden="1">#REF!</definedName>
    <definedName name="MDC_Row9_Range" hidden="1">#REF!</definedName>
    <definedName name="MED">#N/A</definedName>
    <definedName name="Med_admin_savings_amt_curr" hidden="1">#REF!</definedName>
    <definedName name="Med_admin_savings_amt_prior" hidden="1">#REF!</definedName>
    <definedName name="Med_admit_count_curr" hidden="1">#REF!</definedName>
    <definedName name="Med_admit_count_prior" hidden="1">#REF!</definedName>
    <definedName name="Med_allowed_amt_curr" hidden="1">#REF!</definedName>
    <definedName name="Med_allowed_amt_prior" hidden="1">#REF!</definedName>
    <definedName name="Med_amb_billed_amt_curr" hidden="1">#REF!</definedName>
    <definedName name="Med_amb_billed_amt_prior" hidden="1">#REF!</definedName>
    <definedName name="Med_amb_billed_network_curr" hidden="1">#REF!</definedName>
    <definedName name="Med_amb_billed_network_prior" hidden="1">#REF!</definedName>
    <definedName name="Med_amb_network_discount_curr" hidden="1">#REF!</definedName>
    <definedName name="Med_amb_network_discount_prior" hidden="1">#REF!</definedName>
    <definedName name="Med_amb_paid_amt_above_threshold_curr" hidden="1">#REF!</definedName>
    <definedName name="Med_amb_paid_amt_above_threshold_prior" hidden="1">#REF!</definedName>
    <definedName name="Med_amb_paid_amt_curr" hidden="1">#REF!</definedName>
    <definedName name="Med_amb_paid_amt_prior" hidden="1">#REF!</definedName>
    <definedName name="Med_amb_surgery_count_curr" hidden="1">#REF!</definedName>
    <definedName name="Med_amb_surgery_count_prior" hidden="1">#REF!</definedName>
    <definedName name="Med_avg_age_members_curr" hidden="1">#REF!</definedName>
    <definedName name="Med_avg_age_members_prior" hidden="1">#REF!</definedName>
    <definedName name="Med_billed_amt_amb_surgeries_curr" hidden="1">#REF!</definedName>
    <definedName name="Med_billed_amt_amb_surgeries_prior" hidden="1">#REF!</definedName>
    <definedName name="Med_billed_amt_amb_visits_curr" hidden="1">#REF!</definedName>
    <definedName name="Med_billed_amt_amb_visits_prior" hidden="1">#REF!</definedName>
    <definedName name="Med_billed_amt_curr" hidden="1">#REF!</definedName>
    <definedName name="Med_billed_amt_er_visits_curr" hidden="1">#REF!</definedName>
    <definedName name="Med_billed_amt_er_visits_prior" hidden="1">#REF!</definedName>
    <definedName name="Med_billed_amt_female_0_19_curr" hidden="1">#REF!</definedName>
    <definedName name="Med_billed_amt_female_0_19_prior" hidden="1">#REF!</definedName>
    <definedName name="Med_billed_amt_female_20_44_curr" hidden="1">#REF!</definedName>
    <definedName name="Med_billed_amt_female_20_44_prior" hidden="1">#REF!</definedName>
    <definedName name="Med_billed_amt_female_45_64_curr" hidden="1">#REF!</definedName>
    <definedName name="Med_billed_amt_female_45_64_prior" hidden="1">#REF!</definedName>
    <definedName name="Med_billed_amt_female_65_over_curr" hidden="1">#REF!</definedName>
    <definedName name="Med_billed_amt_female_65_over_prior" hidden="1">#REF!</definedName>
    <definedName name="Med_billed_amt_home_health_curr" hidden="1">#REF!</definedName>
    <definedName name="Med_billed_amt_home_health_prior" hidden="1">#REF!</definedName>
    <definedName name="Med_billed_amt_inp_days_curr" hidden="1">#REF!</definedName>
    <definedName name="Med_billed_amt_inp_days_prior" hidden="1">#REF!</definedName>
    <definedName name="Med_billed_amt_inp_surgeries_curr" hidden="1">#REF!</definedName>
    <definedName name="Med_billed_amt_inp_surgeries_prior" hidden="1">#REF!</definedName>
    <definedName name="Med_billed_amt_lab_serv_curr" hidden="1">#REF!</definedName>
    <definedName name="Med_billed_amt_lab_serv_prior" hidden="1">#REF!</definedName>
    <definedName name="Med_billed_amt_male_0_19_curr" hidden="1">#REF!</definedName>
    <definedName name="Med_billed_amt_male_0_19_prior" hidden="1">#REF!</definedName>
    <definedName name="Med_billed_amt_male_20_44_curr" hidden="1">#REF!</definedName>
    <definedName name="Med_billed_amt_male_20_44_prior" hidden="1">#REF!</definedName>
    <definedName name="Med_billed_amt_male_45_64_curr" hidden="1">#REF!</definedName>
    <definedName name="Med_billed_amt_male_45_64_prior" hidden="1">#REF!</definedName>
    <definedName name="Med_billed_amt_male_65_over_curr" hidden="1">#REF!</definedName>
    <definedName name="Med_billed_amt_male_65_over_prior" hidden="1">#REF!</definedName>
    <definedName name="Med_billed_amt_med_rx_curr" hidden="1">#REF!</definedName>
    <definedName name="Med_billed_amt_med_rx_prior" hidden="1">#REF!</definedName>
    <definedName name="Med_billed_amt_med_visits_curr" hidden="1">#REF!</definedName>
    <definedName name="Med_billed_amt_med_visits_prior" hidden="1">#REF!</definedName>
    <definedName name="Med_billed_amt_mental_health_curr" hidden="1">#REF!</definedName>
    <definedName name="Med_billed_amt_mental_health_prior" hidden="1">#REF!</definedName>
    <definedName name="Med_billed_amt_misc_med_curr" hidden="1">#REF!</definedName>
    <definedName name="Med_billed_amt_misc_med_prior" hidden="1">#REF!</definedName>
    <definedName name="Med_billed_amt_office_surgeries_curr" hidden="1">#REF!</definedName>
    <definedName name="Med_billed_amt_office_surgeries_prior" hidden="1">#REF!</definedName>
    <definedName name="Med_billed_amt_prim_off_visits_curr" hidden="1">#REF!</definedName>
    <definedName name="Med_billed_amt_prim_off_visits_prior" hidden="1">#REF!</definedName>
    <definedName name="Med_billed_amt_prior" hidden="1">#REF!</definedName>
    <definedName name="Med_billed_amt_rad_serv_curr" hidden="1">#REF!</definedName>
    <definedName name="Med_billed_amt_rad_serv_prior" hidden="1">#REF!</definedName>
    <definedName name="Med_billed_amt_spec_office_visits_curr" hidden="1">#REF!</definedName>
    <definedName name="Med_billed_amt_spec_office_visits_prior" hidden="1">#REF!</definedName>
    <definedName name="Med_billed_amt_unknown_0_19_curr" hidden="1">#REF!</definedName>
    <definedName name="Med_billed_amt_unknown_0_19_prior" hidden="1">#REF!</definedName>
    <definedName name="Med_billed_amt_unknown_20_44_curr" hidden="1">#REF!</definedName>
    <definedName name="Med_billed_amt_unknown_20_44_prior" hidden="1">#REF!</definedName>
    <definedName name="Med_billed_amt_unknown_45_64_curr" hidden="1">#REF!</definedName>
    <definedName name="Med_billed_amt_unknown_45_64_prior" hidden="1">#REF!</definedName>
    <definedName name="Med_billed_amt_unknown_65_over_curr" hidden="1">#REF!</definedName>
    <definedName name="Med_billed_amt_unknown_65_over_prior" hidden="1">#REF!</definedName>
    <definedName name="Med_billed_encounter_lab_rad_curr" hidden="1">#REF!</definedName>
    <definedName name="Med_billed_encounter_lab_rad_prior" hidden="1">#REF!</definedName>
    <definedName name="Med_billed_encounter_other_curr" hidden="1">#REF!</definedName>
    <definedName name="Med_billed_encounter_other_prior" hidden="1">#REF!</definedName>
    <definedName name="Med_billed_encounter_prim_phys_curr" hidden="1">#REF!</definedName>
    <definedName name="Med_billed_encounter_prim_phys_prior" hidden="1">#REF!</definedName>
    <definedName name="Med_billed_encounter_spec_phys_curr" hidden="1">#REF!</definedName>
    <definedName name="Med_billed_encounter_spec_phys_prior" hidden="1">#REF!</definedName>
    <definedName name="Med_billed_other_curr" hidden="1">#REF!</definedName>
    <definedName name="Med_billed_other_prior" hidden="1">#REF!</definedName>
    <definedName name="Med_Catastrophic_Current_Home" hidden="1">#REF!</definedName>
    <definedName name="Med_Catastrophic_Prior_Home" hidden="1">#REF!</definedName>
    <definedName name="Med_claim_count_above_threshold_curr" hidden="1">#REF!</definedName>
    <definedName name="Med_claim_count_above_threshold_prior" hidden="1">#REF!</definedName>
    <definedName name="Med_claim_count_curr" hidden="1">#REF!</definedName>
    <definedName name="Med_claim_count_female_0_19_curr" hidden="1">#REF!</definedName>
    <definedName name="Med_claim_count_female_0_19_prior" hidden="1">#REF!</definedName>
    <definedName name="Med_claim_count_female_20_44_curr" hidden="1">#REF!</definedName>
    <definedName name="Med_claim_count_female_20_44_prior" hidden="1">#REF!</definedName>
    <definedName name="Med_claim_count_female_45_64_curr" hidden="1">#REF!</definedName>
    <definedName name="Med_claim_count_female_45_64_prior" hidden="1">#REF!</definedName>
    <definedName name="Med_claim_count_female_65_over_curr" hidden="1">#REF!</definedName>
    <definedName name="Med_claim_count_female_65_over_prior" hidden="1">#REF!</definedName>
    <definedName name="Med_claim_count_male_0_19_curr" hidden="1">#REF!</definedName>
    <definedName name="Med_claim_count_male_0_19_prior" hidden="1">#REF!</definedName>
    <definedName name="Med_claim_count_male_20_44_curr" hidden="1">#REF!</definedName>
    <definedName name="Med_claim_count_male_20_44_prior" hidden="1">#REF!</definedName>
    <definedName name="Med_claim_count_male_45_64_curr" hidden="1">#REF!</definedName>
    <definedName name="Med_claim_count_male_45_64_prior" hidden="1">#REF!</definedName>
    <definedName name="Med_claim_count_male_65_over_curr" hidden="1">#REF!</definedName>
    <definedName name="Med_claim_count_male_65_over_prior" hidden="1">#REF!</definedName>
    <definedName name="Med_claim_count_prior" hidden="1">#REF!</definedName>
    <definedName name="Med_claim_count_unknown_0_19_curr" hidden="1">#REF!</definedName>
    <definedName name="Med_claim_count_unknown_0_19_prior" hidden="1">#REF!</definedName>
    <definedName name="Med_claim_count_unknown_20_44_curr" hidden="1">#REF!</definedName>
    <definedName name="Med_claim_count_unknown_20_44_prior" hidden="1">#REF!</definedName>
    <definedName name="Med_claim_count_unknown_45_64_curr" hidden="1">#REF!</definedName>
    <definedName name="Med_claim_count_unknown_45_64_prior" hidden="1">#REF!</definedName>
    <definedName name="Med_claim_count_unknown_65_over_curr" hidden="1">#REF!</definedName>
    <definedName name="Med_claim_count_unknown_65_over_prior" hidden="1">#REF!</definedName>
    <definedName name="Med_cob_amt_curr" hidden="1">#REF!</definedName>
    <definedName name="Med_cob_amt_prior" hidden="1">#REF!</definedName>
    <definedName name="Med_coinsurance_amt_curr" hidden="1">#REF!</definedName>
    <definedName name="Med_coinsurance_amt_prior" hidden="1">#REF!</definedName>
    <definedName name="Med_copay_amt_curr" hidden="1">#REF!</definedName>
    <definedName name="Med_copay_amt_prior" hidden="1">#REF!</definedName>
    <definedName name="Med_Cost_Rows8_19_Range" hidden="1">#REF!</definedName>
    <definedName name="Med_Cost_Sharing_Medical_Range" hidden="1">#REF!</definedName>
    <definedName name="med_cost_space_range1" hidden="1">#REF!</definedName>
    <definedName name="med_cost_space_range2" hidden="1">#REF!</definedName>
    <definedName name="Med_count_amb_surgeries_curr" hidden="1">#REF!</definedName>
    <definedName name="Med_count_amb_surgeries_prior" hidden="1">#REF!</definedName>
    <definedName name="Med_count_amb_visits_curr" hidden="1">#REF!</definedName>
    <definedName name="Med_count_amb_visits_prior" hidden="1">#REF!</definedName>
    <definedName name="Med_count_encounter_lab_rad_curr" hidden="1">#REF!</definedName>
    <definedName name="Med_count_encounter_lab_rad_prior" hidden="1">#REF!</definedName>
    <definedName name="Med_count_encounter_other_curr" hidden="1">#REF!</definedName>
    <definedName name="Med_count_encounter_other_prior" hidden="1">#REF!</definedName>
    <definedName name="Med_count_encounter_prim_phys_curr" hidden="1">#REF!</definedName>
    <definedName name="Med_count_encounter_prim_phys_prior" hidden="1">#REF!</definedName>
    <definedName name="Med_count_encounter_spec_phys_curr" hidden="1">#REF!</definedName>
    <definedName name="Med_count_encounter_spec_phys_prior" hidden="1">#REF!</definedName>
    <definedName name="Med_count_er_visits_curr" hidden="1">#REF!</definedName>
    <definedName name="Med_count_er_visits_prior" hidden="1">#REF!</definedName>
    <definedName name="Med_count_home_health_curr" hidden="1">#REF!</definedName>
    <definedName name="Med_count_home_health_prior" hidden="1">#REF!</definedName>
    <definedName name="Med_count_inp_days_curr" hidden="1">#REF!</definedName>
    <definedName name="Med_count_inp_days_prior" hidden="1">#REF!</definedName>
    <definedName name="Med_count_inp_surgeries_curr" hidden="1">#REF!</definedName>
    <definedName name="Med_count_inp_surgeries_prior" hidden="1">#REF!</definedName>
    <definedName name="Med_count_lab_serv_curr" hidden="1">#REF!</definedName>
    <definedName name="Med_count_lab_serv_prior" hidden="1">#REF!</definedName>
    <definedName name="Med_count_med_rx_curr" hidden="1">#REF!</definedName>
    <definedName name="Med_count_med_rx_prior" hidden="1">#REF!</definedName>
    <definedName name="Med_count_med_visits_curr" hidden="1">#REF!</definedName>
    <definedName name="Med_count_med_visits_prior" hidden="1">#REF!</definedName>
    <definedName name="Med_count_mental_health_curr" hidden="1">#REF!</definedName>
    <definedName name="Med_count_mental_health_prior" hidden="1">#REF!</definedName>
    <definedName name="Med_count_misc_med_curr" hidden="1">#REF!</definedName>
    <definedName name="Med_count_misc_med_prior" hidden="1">#REF!</definedName>
    <definedName name="Med_count_office_surgeries_curr" hidden="1">#REF!</definedName>
    <definedName name="Med_count_office_surgeries_prior" hidden="1">#REF!</definedName>
    <definedName name="Med_count_other_curr" hidden="1">#REF!</definedName>
    <definedName name="Med_count_other_prior" hidden="1">#REF!</definedName>
    <definedName name="Med_count_prim_off_visits_curr" hidden="1">#REF!</definedName>
    <definedName name="Med_count_prim_off_visits_prior" hidden="1">#REF!</definedName>
    <definedName name="Med_count_rad_serv_curr" hidden="1">#REF!</definedName>
    <definedName name="Med_count_rad_serv_prior" hidden="1">#REF!</definedName>
    <definedName name="Med_count_spec_office_visits_curr" hidden="1">#REF!</definedName>
    <definedName name="Med_count_spec_office_visits_prior" hidden="1">#REF!</definedName>
    <definedName name="Med_days_count_curr" hidden="1">#REF!</definedName>
    <definedName name="Med_days_count_prior" hidden="1">#REF!</definedName>
    <definedName name="Med_deductible_amt_curr" hidden="1">#REF!</definedName>
    <definedName name="Med_deductible_amt_prior" hidden="1">#REF!</definedName>
    <definedName name="Med_er_visits_count_curr" hidden="1">#REF!</definedName>
    <definedName name="Med_er_visits_count_prior" hidden="1">#REF!</definedName>
    <definedName name="Med_female_mem_0_19_curr" hidden="1">#REF!</definedName>
    <definedName name="Med_female_mem_0_19_prior" hidden="1">#REF!</definedName>
    <definedName name="Med_female_mem_20_44_curr" hidden="1">#REF!</definedName>
    <definedName name="Med_female_mem_20_44_prior" hidden="1">#REF!</definedName>
    <definedName name="Med_female_mem_45_64_curr" hidden="1">#REF!</definedName>
    <definedName name="Med_female_mem_45_64_prior" hidden="1">#REF!</definedName>
    <definedName name="Med_female_mem_65_over_curr" hidden="1">#REF!</definedName>
    <definedName name="Med_female_mem_65_over_prior" hidden="1">#REF!</definedName>
    <definedName name="Med_female_members_curr" hidden="1">#REF!</definedName>
    <definedName name="Med_female_members_prior" hidden="1">#REF!</definedName>
    <definedName name="Med_hospital_amb_paid_amt_curr" hidden="1">#REF!</definedName>
    <definedName name="Med_hospital_amb_paid_amt_prior" hidden="1">#REF!</definedName>
    <definedName name="Med_hospital_inp_paid_amt_curr" hidden="1">#REF!</definedName>
    <definedName name="Med_hospital_inp_paid_amt_prior" hidden="1">#REF!</definedName>
    <definedName name="Med_hospital_paid_amt_curr" hidden="1">#REF!</definedName>
    <definedName name="Med_hospital_paid_amt_prior" hidden="1">#REF!</definedName>
    <definedName name="Med_inp_billed_amt_curr" hidden="1">#REF!</definedName>
    <definedName name="Med_inp_billed_amt_prior" hidden="1">#REF!</definedName>
    <definedName name="Med_inp_billed_network_curr" hidden="1">#REF!</definedName>
    <definedName name="Med_inp_billed_network_prior" hidden="1">#REF!</definedName>
    <definedName name="Med_inp_network_discount_curr" hidden="1">#REF!</definedName>
    <definedName name="Med_inp_network_discount_prior" hidden="1">#REF!</definedName>
    <definedName name="Med_inp_paid_amt_above_threshold_curr" hidden="1">#REF!</definedName>
    <definedName name="Med_inp_paid_amt_above_threshold_prior" hidden="1">#REF!</definedName>
    <definedName name="Med_inp_paid_amt_curr" hidden="1">#REF!</definedName>
    <definedName name="Med_inp_paid_amt_prior" hidden="1">#REF!</definedName>
    <definedName name="Med_inp_surgery_count_curr" hidden="1">#REF!</definedName>
    <definedName name="Med_inp_surgery_count_prior" hidden="1">#REF!</definedName>
    <definedName name="Med_male_mem_0_19_curr" hidden="1">#REF!</definedName>
    <definedName name="Med_male_mem_0_19_prior" hidden="1">#REF!</definedName>
    <definedName name="Med_male_mem_20_44_curr" hidden="1">#REF!</definedName>
    <definedName name="Med_male_mem_20_44_prior" hidden="1">#REF!</definedName>
    <definedName name="Med_male_mem_45_64_curr" hidden="1">#REF!</definedName>
    <definedName name="Med_male_mem_45_64_prior" hidden="1">#REF!</definedName>
    <definedName name="Med_male_mem_65_over_curr" hidden="1">#REF!</definedName>
    <definedName name="Med_male_mem_65_over_prior" hidden="1">#REF!</definedName>
    <definedName name="Med_male_members_curr" hidden="1">#REF!</definedName>
    <definedName name="Med_male_members_prior" hidden="1">#REF!</definedName>
    <definedName name="Med_MDC_admits_00_curr" hidden="1">#REF!</definedName>
    <definedName name="Med_MDC_admits_00_prior" hidden="1">#REF!</definedName>
    <definedName name="Med_MDC_admits_01_curr" hidden="1">#REF!</definedName>
    <definedName name="Med_MDC_admits_01_prior" hidden="1">#REF!</definedName>
    <definedName name="Med_MDC_admits_02_curr" hidden="1">#REF!</definedName>
    <definedName name="Med_MDC_admits_02_prior" hidden="1">#REF!</definedName>
    <definedName name="Med_MDC_admits_03_curr" hidden="1">#REF!</definedName>
    <definedName name="Med_MDC_admits_03_prior" hidden="1">#REF!</definedName>
    <definedName name="Med_MDC_admits_04_curr" hidden="1">#REF!</definedName>
    <definedName name="Med_MDC_admits_04_prior" hidden="1">#REF!</definedName>
    <definedName name="Med_MDC_admits_05_curr" hidden="1">#REF!</definedName>
    <definedName name="Med_MDC_admits_05_prior" hidden="1">#REF!</definedName>
    <definedName name="Med_MDC_admits_06_curr" hidden="1">#REF!</definedName>
    <definedName name="Med_MDC_admits_06_prior" hidden="1">#REF!</definedName>
    <definedName name="Med_MDC_admits_07_curr" hidden="1">#REF!</definedName>
    <definedName name="Med_MDC_admits_07_prior" hidden="1">#REF!</definedName>
    <definedName name="Med_MDC_admits_08_curr" hidden="1">#REF!</definedName>
    <definedName name="Med_MDC_admits_08_prior" hidden="1">#REF!</definedName>
    <definedName name="Med_MDC_admits_09_curr" hidden="1">#REF!</definedName>
    <definedName name="Med_MDC_admits_09_prior" hidden="1">#REF!</definedName>
    <definedName name="Med_MDC_admits_10_curr" hidden="1">#REF!</definedName>
    <definedName name="Med_MDC_admits_10_prior" hidden="1">#REF!</definedName>
    <definedName name="Med_MDC_admits_11_curr" hidden="1">#REF!</definedName>
    <definedName name="Med_MDC_admits_11_prior" hidden="1">#REF!</definedName>
    <definedName name="Med_MDC_admits_12_curr" hidden="1">#REF!</definedName>
    <definedName name="Med_MDC_admits_12_prior" hidden="1">#REF!</definedName>
    <definedName name="Med_MDC_admits_13_curr" hidden="1">#REF!</definedName>
    <definedName name="Med_MDC_admits_13_prior" hidden="1">#REF!</definedName>
    <definedName name="Med_MDC_admits_14_curr" hidden="1">#REF!</definedName>
    <definedName name="Med_MDC_admits_14_prior" hidden="1">#REF!</definedName>
    <definedName name="Med_MDC_admits_15_curr" hidden="1">#REF!</definedName>
    <definedName name="Med_MDC_admits_15_prior" hidden="1">#REF!</definedName>
    <definedName name="Med_MDC_admits_16_curr" hidden="1">#REF!</definedName>
    <definedName name="Med_MDC_admits_16_prior" hidden="1">#REF!</definedName>
    <definedName name="Med_MDC_admits_17_curr" hidden="1">#REF!</definedName>
    <definedName name="Med_MDC_admits_17_prior" hidden="1">#REF!</definedName>
    <definedName name="Med_MDC_admits_18_curr" hidden="1">#REF!</definedName>
    <definedName name="Med_MDC_admits_18_prior" hidden="1">#REF!</definedName>
    <definedName name="Med_MDC_admits_19_curr" hidden="1">#REF!</definedName>
    <definedName name="Med_MDC_admits_19_prior" hidden="1">#REF!</definedName>
    <definedName name="Med_MDC_admits_20_curr" hidden="1">#REF!</definedName>
    <definedName name="Med_MDC_admits_20_prior" hidden="1">#REF!</definedName>
    <definedName name="Med_MDC_admits_21_curr" hidden="1">#REF!</definedName>
    <definedName name="Med_MDC_admits_21_prior" hidden="1">#REF!</definedName>
    <definedName name="Med_MDC_admits_22_curr" hidden="1">#REF!</definedName>
    <definedName name="Med_MDC_admits_22_prior" hidden="1">#REF!</definedName>
    <definedName name="Med_MDC_admits_23_curr" hidden="1">#REF!</definedName>
    <definedName name="Med_MDC_admits_23_prior" hidden="1">#REF!</definedName>
    <definedName name="Med_MDC_admits_999_curr" hidden="1">#REF!</definedName>
    <definedName name="Med_MDC_admits_999_prior" hidden="1">#REF!</definedName>
    <definedName name="Med_MDC_amb_billed_00_curr" hidden="1">#REF!</definedName>
    <definedName name="Med_MDC_amb_billed_00_prior" hidden="1">#REF!</definedName>
    <definedName name="Med_MDC_amb_billed_01_curr" hidden="1">#REF!</definedName>
    <definedName name="Med_MDC_amb_billed_01_prior" hidden="1">#REF!</definedName>
    <definedName name="Med_MDC_amb_billed_02_curr" hidden="1">#REF!</definedName>
    <definedName name="Med_MDC_amb_billed_02_prior" hidden="1">#REF!</definedName>
    <definedName name="Med_MDC_amb_billed_03_curr" hidden="1">#REF!</definedName>
    <definedName name="Med_MDC_amb_billed_03_prior" hidden="1">#REF!</definedName>
    <definedName name="Med_MDC_amb_billed_04_curr" hidden="1">#REF!</definedName>
    <definedName name="Med_MDC_amb_billed_04_prior" hidden="1">#REF!</definedName>
    <definedName name="Med_MDC_amb_billed_05_curr" hidden="1">#REF!</definedName>
    <definedName name="Med_MDC_amb_billed_05_prior" hidden="1">#REF!</definedName>
    <definedName name="Med_MDC_amb_billed_06_curr" hidden="1">#REF!</definedName>
    <definedName name="Med_MDC_amb_billed_06_prior" hidden="1">#REF!</definedName>
    <definedName name="Med_MDC_amb_billed_07_curr" hidden="1">#REF!</definedName>
    <definedName name="Med_MDC_amb_billed_07_prior" hidden="1">#REF!</definedName>
    <definedName name="Med_MDC_amb_billed_08_curr" hidden="1">#REF!</definedName>
    <definedName name="Med_MDC_amb_billed_08_prior" hidden="1">#REF!</definedName>
    <definedName name="Med_MDC_amb_billed_09_curr" hidden="1">#REF!</definedName>
    <definedName name="Med_MDC_amb_billed_09_prior" hidden="1">#REF!</definedName>
    <definedName name="Med_MDC_amb_billed_10_curr" hidden="1">#REF!</definedName>
    <definedName name="Med_MDC_amb_billed_10_prior" hidden="1">#REF!</definedName>
    <definedName name="Med_MDC_amb_billed_11_curr" hidden="1">#REF!</definedName>
    <definedName name="Med_MDC_amb_billed_11_prior" hidden="1">#REF!</definedName>
    <definedName name="Med_MDC_amb_billed_12_curr" hidden="1">#REF!</definedName>
    <definedName name="Med_MDC_amb_billed_12_prior" hidden="1">#REF!</definedName>
    <definedName name="Med_MDC_amb_billed_13_curr" hidden="1">#REF!</definedName>
    <definedName name="Med_MDC_amb_billed_13_prior" hidden="1">#REF!</definedName>
    <definedName name="Med_MDC_amb_billed_14_curr" hidden="1">#REF!</definedName>
    <definedName name="Med_MDC_amb_billed_14_prior" hidden="1">#REF!</definedName>
    <definedName name="Med_MDC_amb_billed_15_curr" hidden="1">#REF!</definedName>
    <definedName name="Med_MDC_amb_billed_15_prior" hidden="1">#REF!</definedName>
    <definedName name="Med_MDC_amb_billed_16_curr" hidden="1">#REF!</definedName>
    <definedName name="Med_MDC_amb_billed_16_prior" hidden="1">#REF!</definedName>
    <definedName name="Med_MDC_amb_billed_17_curr" hidden="1">#REF!</definedName>
    <definedName name="Med_MDC_amb_billed_17_prior" hidden="1">#REF!</definedName>
    <definedName name="Med_MDC_amb_billed_18_curr" hidden="1">#REF!</definedName>
    <definedName name="Med_MDC_amb_billed_18_prior" hidden="1">#REF!</definedName>
    <definedName name="Med_MDC_amb_billed_19_curr" hidden="1">#REF!</definedName>
    <definedName name="Med_MDC_amb_billed_19_prior" hidden="1">#REF!</definedName>
    <definedName name="Med_MDC_amb_billed_20_curr" hidden="1">#REF!</definedName>
    <definedName name="Med_MDC_amb_billed_20_prior" hidden="1">#REF!</definedName>
    <definedName name="Med_MDC_amb_billed_21_curr" hidden="1">#REF!</definedName>
    <definedName name="Med_MDC_amb_billed_21_prior" hidden="1">#REF!</definedName>
    <definedName name="Med_MDC_amb_billed_22_curr" hidden="1">#REF!</definedName>
    <definedName name="Med_MDC_amb_billed_22_prior" hidden="1">#REF!</definedName>
    <definedName name="Med_MDC_amb_billed_23_curr" hidden="1">#REF!</definedName>
    <definedName name="Med_MDC_amb_billed_23_prior" hidden="1">#REF!</definedName>
    <definedName name="Med_MDC_amb_billed_999_curr" hidden="1">#REF!</definedName>
    <definedName name="Med_MDC_amb_billed_999_prior" hidden="1">#REF!</definedName>
    <definedName name="Med_MDC_amb_paid_00_curr" hidden="1">#REF!</definedName>
    <definedName name="Med_MDC_amb_paid_00_prior" hidden="1">#REF!</definedName>
    <definedName name="Med_MDC_amb_paid_01_curr" hidden="1">#REF!</definedName>
    <definedName name="Med_MDC_amb_paid_01_prior" hidden="1">#REF!</definedName>
    <definedName name="Med_MDC_amb_paid_02_curr" hidden="1">#REF!</definedName>
    <definedName name="Med_MDC_amb_paid_02_prior" hidden="1">#REF!</definedName>
    <definedName name="Med_MDC_amb_paid_03_curr" hidden="1">#REF!</definedName>
    <definedName name="Med_MDC_amb_paid_03_prior" hidden="1">#REF!</definedName>
    <definedName name="Med_MDC_amb_paid_04_curr" hidden="1">#REF!</definedName>
    <definedName name="Med_MDC_amb_paid_04_prior" hidden="1">#REF!</definedName>
    <definedName name="Med_MDC_amb_paid_05_curr" hidden="1">#REF!</definedName>
    <definedName name="Med_MDC_amb_paid_05_prior" hidden="1">#REF!</definedName>
    <definedName name="Med_MDC_amb_paid_06_curr" hidden="1">#REF!</definedName>
    <definedName name="Med_MDC_amb_paid_06_prior" hidden="1">#REF!</definedName>
    <definedName name="Med_MDC_amb_paid_07_curr" hidden="1">#REF!</definedName>
    <definedName name="Med_MDC_amb_paid_07_prior" hidden="1">#REF!</definedName>
    <definedName name="Med_MDC_amb_paid_08_curr" hidden="1">#REF!</definedName>
    <definedName name="Med_MDC_amb_paid_08_prior" hidden="1">#REF!</definedName>
    <definedName name="Med_MDC_amb_paid_09_curr" hidden="1">#REF!</definedName>
    <definedName name="Med_MDC_amb_paid_09_prior" hidden="1">#REF!</definedName>
    <definedName name="Med_MDC_amb_paid_10_curr" hidden="1">#REF!</definedName>
    <definedName name="Med_MDC_amb_paid_10_prior" hidden="1">#REF!</definedName>
    <definedName name="Med_MDC_amb_paid_11_curr" hidden="1">#REF!</definedName>
    <definedName name="Med_MDC_amb_paid_11_prior" hidden="1">#REF!</definedName>
    <definedName name="Med_MDC_amb_paid_12_curr" hidden="1">#REF!</definedName>
    <definedName name="Med_MDC_amb_paid_12_prior" hidden="1">#REF!</definedName>
    <definedName name="Med_MDC_amb_paid_13_curr" hidden="1">#REF!</definedName>
    <definedName name="Med_MDC_amb_paid_13_prior" hidden="1">#REF!</definedName>
    <definedName name="Med_MDC_amb_paid_14_curr" hidden="1">#REF!</definedName>
    <definedName name="Med_MDC_amb_paid_14_prior" hidden="1">#REF!</definedName>
    <definedName name="Med_MDC_amb_paid_15_curr" hidden="1">#REF!</definedName>
    <definedName name="Med_MDC_amb_paid_15_prior" hidden="1">#REF!</definedName>
    <definedName name="Med_MDC_amb_paid_16_curr" hidden="1">#REF!</definedName>
    <definedName name="Med_MDC_amb_paid_16_prior" hidden="1">#REF!</definedName>
    <definedName name="Med_MDC_amb_paid_17_curr" hidden="1">#REF!</definedName>
    <definedName name="Med_MDC_amb_paid_17_prior" hidden="1">#REF!</definedName>
    <definedName name="Med_MDC_amb_paid_18_curr" hidden="1">#REF!</definedName>
    <definedName name="Med_MDC_amb_paid_18_prior" hidden="1">#REF!</definedName>
    <definedName name="Med_MDC_amb_paid_19_curr" hidden="1">#REF!</definedName>
    <definedName name="Med_MDC_amb_paid_19_prior" hidden="1">#REF!</definedName>
    <definedName name="Med_MDC_amb_paid_20_curr" hidden="1">#REF!</definedName>
    <definedName name="Med_MDC_amb_paid_20_prior" hidden="1">#REF!</definedName>
    <definedName name="Med_MDC_amb_paid_21_curr" hidden="1">#REF!</definedName>
    <definedName name="Med_MDC_amb_paid_21_prior" hidden="1">#REF!</definedName>
    <definedName name="Med_MDC_amb_paid_22_curr" hidden="1">#REF!</definedName>
    <definedName name="Med_MDC_amb_paid_22_prior" hidden="1">#REF!</definedName>
    <definedName name="Med_MDC_amb_paid_23_curr" hidden="1">#REF!</definedName>
    <definedName name="Med_MDC_amb_paid_23_prior" hidden="1">#REF!</definedName>
    <definedName name="Med_MDC_amb_paid_999_curr" hidden="1">#REF!</definedName>
    <definedName name="Med_MDC_amb_paid_999_prior" hidden="1">#REF!</definedName>
    <definedName name="Med_MDC_billed_00_curr" hidden="1">#REF!</definedName>
    <definedName name="Med_MDC_billed_00_prior" hidden="1">#REF!</definedName>
    <definedName name="Med_MDC_billed_01_curr" hidden="1">#REF!</definedName>
    <definedName name="Med_MDC_billed_01_prior" hidden="1">#REF!</definedName>
    <definedName name="Med_MDC_billed_02_curr" hidden="1">#REF!</definedName>
    <definedName name="Med_MDC_billed_02_prior" hidden="1">#REF!</definedName>
    <definedName name="Med_MDC_billed_03_curr" hidden="1">#REF!</definedName>
    <definedName name="Med_MDC_billed_03_prior" hidden="1">#REF!</definedName>
    <definedName name="Med_MDC_billed_04_curr" hidden="1">#REF!</definedName>
    <definedName name="Med_MDC_billed_04_prior" hidden="1">#REF!</definedName>
    <definedName name="Med_MDC_billed_05_curr" hidden="1">#REF!</definedName>
    <definedName name="Med_MDC_billed_05_prior" hidden="1">#REF!</definedName>
    <definedName name="Med_MDC_billed_06_curr" hidden="1">#REF!</definedName>
    <definedName name="Med_MDC_billed_06_prior" hidden="1">#REF!</definedName>
    <definedName name="Med_MDC_billed_07_curr" hidden="1">#REF!</definedName>
    <definedName name="Med_MDC_billed_07_prior" hidden="1">#REF!</definedName>
    <definedName name="Med_MDC_billed_08_curr" hidden="1">#REF!</definedName>
    <definedName name="Med_MDC_billed_08_prior" hidden="1">#REF!</definedName>
    <definedName name="Med_MDC_billed_09_curr" hidden="1">#REF!</definedName>
    <definedName name="Med_MDC_billed_09_prior" hidden="1">#REF!</definedName>
    <definedName name="Med_MDC_billed_10_curr" hidden="1">#REF!</definedName>
    <definedName name="Med_MDC_billed_10_prior" hidden="1">#REF!</definedName>
    <definedName name="Med_MDC_billed_11_curr" hidden="1">#REF!</definedName>
    <definedName name="Med_MDC_billed_11_prior" hidden="1">#REF!</definedName>
    <definedName name="Med_MDC_billed_12_curr" hidden="1">#REF!</definedName>
    <definedName name="Med_MDC_billed_12_prior" hidden="1">#REF!</definedName>
    <definedName name="Med_MDC_billed_13_curr" hidden="1">#REF!</definedName>
    <definedName name="Med_MDC_billed_13_prior" hidden="1">#REF!</definedName>
    <definedName name="Med_MDC_billed_14_curr" hidden="1">#REF!</definedName>
    <definedName name="Med_MDC_billed_14_prior" hidden="1">#REF!</definedName>
    <definedName name="Med_MDC_billed_15_curr" hidden="1">#REF!</definedName>
    <definedName name="Med_MDC_billed_15_prior" hidden="1">#REF!</definedName>
    <definedName name="Med_MDC_billed_16_curr" hidden="1">#REF!</definedName>
    <definedName name="Med_MDC_billed_16_prior" hidden="1">#REF!</definedName>
    <definedName name="Med_MDC_billed_17_curr" hidden="1">#REF!</definedName>
    <definedName name="Med_MDC_billed_17_prior" hidden="1">#REF!</definedName>
    <definedName name="Med_MDC_billed_18_curr" hidden="1">#REF!</definedName>
    <definedName name="Med_MDC_billed_18_prior" hidden="1">#REF!</definedName>
    <definedName name="Med_MDC_billed_19_curr" hidden="1">#REF!</definedName>
    <definedName name="Med_MDC_billed_19_prior" hidden="1">#REF!</definedName>
    <definedName name="Med_MDC_billed_20_curr" hidden="1">#REF!</definedName>
    <definedName name="Med_MDC_billed_20_prior" hidden="1">#REF!</definedName>
    <definedName name="Med_MDC_billed_21_curr" hidden="1">#REF!</definedName>
    <definedName name="Med_MDC_billed_21_prior" hidden="1">#REF!</definedName>
    <definedName name="Med_MDC_billed_22_curr" hidden="1">#REF!</definedName>
    <definedName name="Med_MDC_billed_22_prior" hidden="1">#REF!</definedName>
    <definedName name="Med_MDC_billed_23_curr" hidden="1">#REF!</definedName>
    <definedName name="Med_MDC_billed_23_prior" hidden="1">#REF!</definedName>
    <definedName name="Med_MDC_billed_999_curr" hidden="1">#REF!</definedName>
    <definedName name="Med_MDC_billed_999_prior" hidden="1">#REF!</definedName>
    <definedName name="Med_MDC_cd_00_curr" hidden="1">#REF!</definedName>
    <definedName name="Med_MDC_cd_00_prior" hidden="1">#REF!</definedName>
    <definedName name="Med_MDC_cd_01_curr" hidden="1">#REF!</definedName>
    <definedName name="Med_MDC_cd_01_prior" hidden="1">#REF!</definedName>
    <definedName name="Med_MDC_cd_02_curr" hidden="1">#REF!</definedName>
    <definedName name="Med_MDC_cd_02_prior" hidden="1">#REF!</definedName>
    <definedName name="Med_MDC_cd_03_curr" hidden="1">#REF!</definedName>
    <definedName name="Med_MDC_cd_03_prior" hidden="1">#REF!</definedName>
    <definedName name="Med_MDC_cd_04_curr" hidden="1">#REF!</definedName>
    <definedName name="Med_MDC_cd_04_prior" hidden="1">#REF!</definedName>
    <definedName name="Med_MDC_cd_05_curr" hidden="1">#REF!</definedName>
    <definedName name="Med_MDC_cd_05_prior" hidden="1">#REF!</definedName>
    <definedName name="Med_MDC_cd_06_curr" hidden="1">#REF!</definedName>
    <definedName name="Med_MDC_cd_06_prior" hidden="1">#REF!</definedName>
    <definedName name="Med_MDC_cd_07_curr" hidden="1">#REF!</definedName>
    <definedName name="Med_MDC_cd_07_prior" hidden="1">#REF!</definedName>
    <definedName name="Med_MDC_cd_08_curr" hidden="1">#REF!</definedName>
    <definedName name="Med_MDC_cd_08_prior" hidden="1">#REF!</definedName>
    <definedName name="Med_MDC_cd_09_curr" hidden="1">#REF!</definedName>
    <definedName name="Med_MDC_cd_09_prior" hidden="1">#REF!</definedName>
    <definedName name="Med_MDC_cd_10_curr" hidden="1">#REF!</definedName>
    <definedName name="Med_MDC_cd_10_prior" hidden="1">#REF!</definedName>
    <definedName name="Med_MDC_cd_11_curr" hidden="1">#REF!</definedName>
    <definedName name="Med_MDC_cd_11_prior" hidden="1">#REF!</definedName>
    <definedName name="Med_MDC_cd_12_curr" hidden="1">#REF!</definedName>
    <definedName name="Med_MDC_cd_12_prior" hidden="1">#REF!</definedName>
    <definedName name="Med_MDC_cd_13_curr" hidden="1">#REF!</definedName>
    <definedName name="Med_MDC_cd_13_prior" hidden="1">#REF!</definedName>
    <definedName name="Med_MDC_cd_14_curr" hidden="1">#REF!</definedName>
    <definedName name="Med_MDC_cd_14_prior" hidden="1">#REF!</definedName>
    <definedName name="Med_MDC_cd_15_curr" hidden="1">#REF!</definedName>
    <definedName name="Med_MDC_cd_15_prior" hidden="1">#REF!</definedName>
    <definedName name="Med_MDC_cd_16_curr" hidden="1">#REF!</definedName>
    <definedName name="Med_MDC_cd_16_prior" hidden="1">#REF!</definedName>
    <definedName name="Med_MDC_cd_17_curr" hidden="1">#REF!</definedName>
    <definedName name="Med_MDC_cd_17_prior" hidden="1">#REF!</definedName>
    <definedName name="Med_MDC_cd_18_curr" hidden="1">#REF!</definedName>
    <definedName name="Med_MDC_cd_18_prior" hidden="1">#REF!</definedName>
    <definedName name="Med_MDC_cd_19_curr" hidden="1">#REF!</definedName>
    <definedName name="Med_MDC_cd_19_prior" hidden="1">#REF!</definedName>
    <definedName name="Med_MDC_cd_20_curr" hidden="1">#REF!</definedName>
    <definedName name="Med_MDC_cd_20_prior" hidden="1">#REF!</definedName>
    <definedName name="Med_MDC_cd_21_curr" hidden="1">#REF!</definedName>
    <definedName name="Med_MDC_cd_21_prior" hidden="1">#REF!</definedName>
    <definedName name="Med_MDC_cd_22_curr" hidden="1">#REF!</definedName>
    <definedName name="Med_MDC_cd_22_prior" hidden="1">#REF!</definedName>
    <definedName name="Med_MDC_cd_23_curr" hidden="1">#REF!</definedName>
    <definedName name="Med_MDC_cd_23_prior" hidden="1">#REF!</definedName>
    <definedName name="Med_MDC_cd_999_curr" hidden="1">#REF!</definedName>
    <definedName name="Med_MDC_cd_999_prior" hidden="1">#REF!</definedName>
    <definedName name="Med_MDC_claimants_00_curr" hidden="1">#REF!</definedName>
    <definedName name="Med_MDC_claimants_00_prior" hidden="1">#REF!</definedName>
    <definedName name="Med_MDC_claimants_01_curr" hidden="1">#REF!</definedName>
    <definedName name="Med_MDC_claimants_01_prior" hidden="1">#REF!</definedName>
    <definedName name="Med_MDC_claimants_02_curr" hidden="1">#REF!</definedName>
    <definedName name="Med_MDC_claimants_02_prior" hidden="1">#REF!</definedName>
    <definedName name="Med_MDC_claimants_03_curr" hidden="1">#REF!</definedName>
    <definedName name="Med_MDC_claimants_03_prior" hidden="1">#REF!</definedName>
    <definedName name="Med_MDC_claimants_04_curr" hidden="1">#REF!</definedName>
    <definedName name="Med_MDC_claimants_04_prior" hidden="1">#REF!</definedName>
    <definedName name="Med_MDC_claimants_05_curr" hidden="1">#REF!</definedName>
    <definedName name="Med_MDC_claimants_05_prior" hidden="1">#REF!</definedName>
    <definedName name="Med_MDC_claimants_06_curr" hidden="1">#REF!</definedName>
    <definedName name="Med_MDC_claimants_06_prior" hidden="1">#REF!</definedName>
    <definedName name="Med_MDC_claimants_07_curr" hidden="1">#REF!</definedName>
    <definedName name="Med_MDC_claimants_07_prior" hidden="1">#REF!</definedName>
    <definedName name="Med_MDC_claimants_08_curr" hidden="1">#REF!</definedName>
    <definedName name="Med_MDC_claimants_08_prior" hidden="1">#REF!</definedName>
    <definedName name="Med_MDC_claimants_09_curr" hidden="1">#REF!</definedName>
    <definedName name="Med_MDC_claimants_09_prior" hidden="1">#REF!</definedName>
    <definedName name="Med_MDC_claimants_10_curr" hidden="1">#REF!</definedName>
    <definedName name="Med_MDC_claimants_10_prior" hidden="1">#REF!</definedName>
    <definedName name="Med_MDC_claimants_11_curr" hidden="1">#REF!</definedName>
    <definedName name="Med_MDC_claimants_11_prior" hidden="1">#REF!</definedName>
    <definedName name="Med_MDC_claimants_12_curr" hidden="1">#REF!</definedName>
    <definedName name="Med_MDC_claimants_12_prior" hidden="1">#REF!</definedName>
    <definedName name="Med_MDC_claimants_13_curr" hidden="1">#REF!</definedName>
    <definedName name="Med_MDC_claimants_13_prior" hidden="1">#REF!</definedName>
    <definedName name="Med_MDC_claimants_14_curr" hidden="1">#REF!</definedName>
    <definedName name="Med_MDC_claimants_14_prior" hidden="1">#REF!</definedName>
    <definedName name="Med_MDC_claimants_15_curr" hidden="1">#REF!</definedName>
    <definedName name="Med_MDC_claimants_15_prior" hidden="1">#REF!</definedName>
    <definedName name="Med_MDC_claimants_16_curr" hidden="1">#REF!</definedName>
    <definedName name="Med_MDC_claimants_16_prior" hidden="1">#REF!</definedName>
    <definedName name="Med_MDC_claimants_17_curr" hidden="1">#REF!</definedName>
    <definedName name="Med_MDC_claimants_17_prior" hidden="1">#REF!</definedName>
    <definedName name="Med_MDC_claimants_18_curr" hidden="1">#REF!</definedName>
    <definedName name="Med_MDC_claimants_18_prior" hidden="1">#REF!</definedName>
    <definedName name="Med_MDC_claimants_19_curr" hidden="1">#REF!</definedName>
    <definedName name="Med_MDC_claimants_19_prior" hidden="1">#REF!</definedName>
    <definedName name="Med_MDC_claimants_20_curr" hidden="1">#REF!</definedName>
    <definedName name="Med_MDC_claimants_20_prior" hidden="1">#REF!</definedName>
    <definedName name="Med_MDC_claimants_21_curr" hidden="1">#REF!</definedName>
    <definedName name="Med_MDC_claimants_21_prior" hidden="1">#REF!</definedName>
    <definedName name="Med_MDC_claimants_22_curr" hidden="1">#REF!</definedName>
    <definedName name="Med_MDC_claimants_22_prior" hidden="1">#REF!</definedName>
    <definedName name="Med_MDC_claimants_23_curr" hidden="1">#REF!</definedName>
    <definedName name="Med_MDC_claimants_23_prior" hidden="1">#REF!</definedName>
    <definedName name="Med_MDC_claimants_999_curr" hidden="1">#REF!</definedName>
    <definedName name="Med_MDC_claimants_999_prior" hidden="1">#REF!</definedName>
    <definedName name="Med_MDC_days_00_curr" hidden="1">#REF!</definedName>
    <definedName name="Med_MDC_days_00_prior" hidden="1">#REF!</definedName>
    <definedName name="Med_MDC_days_01_curr" hidden="1">#REF!</definedName>
    <definedName name="Med_MDC_days_01_prior" hidden="1">#REF!</definedName>
    <definedName name="Med_MDC_days_02_curr" hidden="1">#REF!</definedName>
    <definedName name="Med_MDC_days_02_prior" hidden="1">#REF!</definedName>
    <definedName name="Med_MDC_days_03_curr" hidden="1">#REF!</definedName>
    <definedName name="Med_MDC_days_03_prior" hidden="1">#REF!</definedName>
    <definedName name="Med_MDC_days_04_curr" hidden="1">#REF!</definedName>
    <definedName name="Med_MDC_days_04_prior" hidden="1">#REF!</definedName>
    <definedName name="Med_MDC_days_05_curr" hidden="1">#REF!</definedName>
    <definedName name="Med_MDC_days_05_prior" hidden="1">#REF!</definedName>
    <definedName name="Med_MDC_days_06_curr" hidden="1">#REF!</definedName>
    <definedName name="Med_MDC_days_06_prior" hidden="1">#REF!</definedName>
    <definedName name="Med_MDC_days_07_curr" hidden="1">#REF!</definedName>
    <definedName name="Med_MDC_days_07_prior" hidden="1">#REF!</definedName>
    <definedName name="Med_MDC_days_08_curr" hidden="1">#REF!</definedName>
    <definedName name="Med_MDC_days_08_prior" hidden="1">#REF!</definedName>
    <definedName name="Med_MDC_days_09_curr" hidden="1">#REF!</definedName>
    <definedName name="Med_MDC_days_09_prior" hidden="1">#REF!</definedName>
    <definedName name="Med_MDC_days_10_curr" hidden="1">#REF!</definedName>
    <definedName name="Med_MDC_days_10_prior" hidden="1">#REF!</definedName>
    <definedName name="Med_MDC_days_11_curr" hidden="1">#REF!</definedName>
    <definedName name="Med_MDC_days_11_prior" hidden="1">#REF!</definedName>
    <definedName name="Med_MDC_days_12_curr" hidden="1">#REF!</definedName>
    <definedName name="Med_MDC_days_12_prior" hidden="1">#REF!</definedName>
    <definedName name="Med_MDC_days_13_curr" hidden="1">#REF!</definedName>
    <definedName name="Med_MDC_days_13_prior" hidden="1">#REF!</definedName>
    <definedName name="Med_MDC_days_14_curr" hidden="1">#REF!</definedName>
    <definedName name="Med_MDC_days_14_prior" hidden="1">#REF!</definedName>
    <definedName name="Med_MDC_days_15_curr" hidden="1">#REF!</definedName>
    <definedName name="Med_MDC_days_15_prior" hidden="1">#REF!</definedName>
    <definedName name="Med_MDC_days_16_curr" hidden="1">#REF!</definedName>
    <definedName name="Med_MDC_days_16_prior" hidden="1">#REF!</definedName>
    <definedName name="Med_MDC_days_17_curr" hidden="1">#REF!</definedName>
    <definedName name="Med_MDC_days_17_prior" hidden="1">#REF!</definedName>
    <definedName name="Med_MDC_days_18_curr" hidden="1">#REF!</definedName>
    <definedName name="Med_MDC_days_18_prior" hidden="1">#REF!</definedName>
    <definedName name="Med_MDC_days_19_curr" hidden="1">#REF!</definedName>
    <definedName name="Med_MDC_days_19_prior" hidden="1">#REF!</definedName>
    <definedName name="Med_MDC_days_20_curr" hidden="1">#REF!</definedName>
    <definedName name="Med_MDC_days_20_prior" hidden="1">#REF!</definedName>
    <definedName name="Med_MDC_days_21_curr" hidden="1">#REF!</definedName>
    <definedName name="Med_MDC_days_21_prior" hidden="1">#REF!</definedName>
    <definedName name="Med_MDC_days_22_curr" hidden="1">#REF!</definedName>
    <definedName name="Med_MDC_days_22_prior" hidden="1">#REF!</definedName>
    <definedName name="Med_MDC_days_23_curr" hidden="1">#REF!</definedName>
    <definedName name="Med_MDC_days_23_prior" hidden="1">#REF!</definedName>
    <definedName name="Med_MDC_days_999_curr" hidden="1">#REF!</definedName>
    <definedName name="Med_MDC_days_999_prior" hidden="1">#REF!</definedName>
    <definedName name="Med_MDC_inp_billed_00_curr" hidden="1">#REF!</definedName>
    <definedName name="Med_MDC_inp_billed_00_prior" hidden="1">#REF!</definedName>
    <definedName name="Med_MDC_inp_billed_01_curr" hidden="1">#REF!</definedName>
    <definedName name="Med_MDC_inp_billed_01_prior" hidden="1">#REF!</definedName>
    <definedName name="Med_MDC_inp_billed_02_curr" hidden="1">#REF!</definedName>
    <definedName name="Med_MDC_inp_billed_02_prior" hidden="1">#REF!</definedName>
    <definedName name="Med_MDC_inp_billed_03_curr" hidden="1">#REF!</definedName>
    <definedName name="Med_MDC_inp_billed_03_prior" hidden="1">#REF!</definedName>
    <definedName name="Med_MDC_inp_billed_04_curr" hidden="1">#REF!</definedName>
    <definedName name="Med_MDC_inp_billed_04_prior" hidden="1">#REF!</definedName>
    <definedName name="Med_MDC_inp_billed_05_curr" hidden="1">#REF!</definedName>
    <definedName name="Med_MDC_inp_billed_05_prior" hidden="1">#REF!</definedName>
    <definedName name="Med_MDC_inp_billed_06_curr" hidden="1">#REF!</definedName>
    <definedName name="Med_MDC_inp_billed_06_prior" hidden="1">#REF!</definedName>
    <definedName name="Med_MDC_inp_billed_07_curr" hidden="1">#REF!</definedName>
    <definedName name="Med_MDC_inp_billed_07_prior" hidden="1">#REF!</definedName>
    <definedName name="Med_MDC_inp_billed_08_curr" hidden="1">#REF!</definedName>
    <definedName name="Med_MDC_inp_billed_08_prior" hidden="1">#REF!</definedName>
    <definedName name="Med_MDC_inp_billed_09_curr" hidden="1">#REF!</definedName>
    <definedName name="Med_MDC_inp_billed_09_prior" hidden="1">#REF!</definedName>
    <definedName name="Med_MDC_inp_billed_10_curr" hidden="1">#REF!</definedName>
    <definedName name="Med_MDC_inp_billed_10_prior" hidden="1">#REF!</definedName>
    <definedName name="Med_MDC_inp_billed_11_curr" hidden="1">#REF!</definedName>
    <definedName name="Med_MDC_inp_billed_11_prior" hidden="1">#REF!</definedName>
    <definedName name="Med_MDC_inp_billed_12_curr" hidden="1">#REF!</definedName>
    <definedName name="Med_MDC_inp_billed_12_prior" hidden="1">#REF!</definedName>
    <definedName name="Med_MDC_inp_billed_13_curr" hidden="1">#REF!</definedName>
    <definedName name="Med_MDC_inp_billed_13_prior" hidden="1">#REF!</definedName>
    <definedName name="Med_MDC_inp_billed_14_curr" hidden="1">#REF!</definedName>
    <definedName name="Med_MDC_inp_billed_14_prior" hidden="1">#REF!</definedName>
    <definedName name="Med_MDC_inp_billed_15_curr" hidden="1">#REF!</definedName>
    <definedName name="Med_MDC_inp_billed_15_prior" hidden="1">#REF!</definedName>
    <definedName name="Med_MDC_inp_billed_16_curr" hidden="1">#REF!</definedName>
    <definedName name="Med_MDC_inp_billed_16_prior" hidden="1">#REF!</definedName>
    <definedName name="Med_MDC_inp_billed_17_curr" hidden="1">#REF!</definedName>
    <definedName name="Med_MDC_inp_billed_17_prior" hidden="1">#REF!</definedName>
    <definedName name="Med_MDC_inp_billed_18_curr" hidden="1">#REF!</definedName>
    <definedName name="Med_MDC_inp_billed_18_prior" hidden="1">#REF!</definedName>
    <definedName name="Med_MDC_inp_billed_19_curr" hidden="1">#REF!</definedName>
    <definedName name="Med_MDC_inp_billed_19_prior" hidden="1">#REF!</definedName>
    <definedName name="Med_MDC_inp_billed_20_curr" hidden="1">#REF!</definedName>
    <definedName name="Med_MDC_inp_billed_20_prior" hidden="1">#REF!</definedName>
    <definedName name="Med_MDC_inp_billed_21_curr" hidden="1">#REF!</definedName>
    <definedName name="Med_MDC_inp_billed_21_prior" hidden="1">#REF!</definedName>
    <definedName name="Med_MDC_inp_billed_22_curr" hidden="1">#REF!</definedName>
    <definedName name="Med_MDC_inp_billed_22_prior" hidden="1">#REF!</definedName>
    <definedName name="Med_MDC_inp_billed_23_curr" hidden="1">#REF!</definedName>
    <definedName name="Med_MDC_inp_billed_23_prior" hidden="1">#REF!</definedName>
    <definedName name="Med_MDC_inp_billed_999_curr" hidden="1">#REF!</definedName>
    <definedName name="Med_MDC_inp_billed_999_prior" hidden="1">#REF!</definedName>
    <definedName name="Med_MDC_inp_paid_00_curr" hidden="1">#REF!</definedName>
    <definedName name="Med_MDC_inp_paid_00_prior" hidden="1">#REF!</definedName>
    <definedName name="Med_MDC_inp_paid_01_curr" hidden="1">#REF!</definedName>
    <definedName name="Med_MDC_inp_paid_01_prior" hidden="1">#REF!</definedName>
    <definedName name="Med_MDC_inp_paid_02_curr" hidden="1">#REF!</definedName>
    <definedName name="Med_MDC_inp_paid_02_prior" hidden="1">#REF!</definedName>
    <definedName name="Med_MDC_inp_paid_03_curr" hidden="1">#REF!</definedName>
    <definedName name="Med_MDC_inp_paid_03_prior" hidden="1">#REF!</definedName>
    <definedName name="Med_MDC_inp_paid_04_curr" hidden="1">#REF!</definedName>
    <definedName name="Med_MDC_inp_paid_04_prior" hidden="1">#REF!</definedName>
    <definedName name="Med_MDC_inp_paid_05_curr" hidden="1">#REF!</definedName>
    <definedName name="Med_MDC_inp_paid_05_prior" hidden="1">#REF!</definedName>
    <definedName name="Med_MDC_inp_paid_06_curr" hidden="1">#REF!</definedName>
    <definedName name="Med_MDC_inp_paid_06_prior" hidden="1">#REF!</definedName>
    <definedName name="Med_MDC_inp_paid_07_curr" hidden="1">#REF!</definedName>
    <definedName name="Med_MDC_inp_paid_07_prior" hidden="1">#REF!</definedName>
    <definedName name="Med_MDC_inp_paid_08_curr" hidden="1">#REF!</definedName>
    <definedName name="Med_MDC_inp_paid_08_prior" hidden="1">#REF!</definedName>
    <definedName name="Med_MDC_inp_paid_09_curr" hidden="1">#REF!</definedName>
    <definedName name="Med_MDC_inp_paid_09_prior" hidden="1">#REF!</definedName>
    <definedName name="Med_MDC_inp_paid_10_curr" hidden="1">#REF!</definedName>
    <definedName name="Med_MDC_inp_paid_10_prior" hidden="1">#REF!</definedName>
    <definedName name="Med_MDC_inp_paid_11_curr" hidden="1">#REF!</definedName>
    <definedName name="Med_MDC_inp_paid_11_prior" hidden="1">#REF!</definedName>
    <definedName name="Med_MDC_inp_paid_12_curr" hidden="1">#REF!</definedName>
    <definedName name="Med_MDC_inp_paid_12_prior" hidden="1">#REF!</definedName>
    <definedName name="Med_MDC_inp_paid_13_curr" hidden="1">#REF!</definedName>
    <definedName name="Med_MDC_inp_paid_13_prior" hidden="1">#REF!</definedName>
    <definedName name="Med_MDC_inp_paid_14_curr" hidden="1">#REF!</definedName>
    <definedName name="Med_MDC_inp_paid_14_prior" hidden="1">#REF!</definedName>
    <definedName name="Med_MDC_inp_paid_15_curr" hidden="1">#REF!</definedName>
    <definedName name="Med_MDC_inp_paid_15_prior" hidden="1">#REF!</definedName>
    <definedName name="Med_MDC_inp_paid_16_curr" hidden="1">#REF!</definedName>
    <definedName name="Med_MDC_inp_paid_16_prior" hidden="1">#REF!</definedName>
    <definedName name="Med_MDC_inp_paid_17_curr" hidden="1">#REF!</definedName>
    <definedName name="Med_MDC_inp_paid_17_prior" hidden="1">#REF!</definedName>
    <definedName name="Med_MDC_inp_paid_18_curr" hidden="1">#REF!</definedName>
    <definedName name="Med_MDC_inp_paid_18_prior" hidden="1">#REF!</definedName>
    <definedName name="Med_MDC_inp_paid_19_curr" hidden="1">#REF!</definedName>
    <definedName name="Med_MDC_inp_paid_19_prior" hidden="1">#REF!</definedName>
    <definedName name="Med_MDC_inp_paid_20_curr" hidden="1">#REF!</definedName>
    <definedName name="Med_MDC_inp_paid_20_prior" hidden="1">#REF!</definedName>
    <definedName name="Med_MDC_inp_paid_21_curr" hidden="1">#REF!</definedName>
    <definedName name="Med_MDC_inp_paid_21_prior" hidden="1">#REF!</definedName>
    <definedName name="Med_MDC_inp_paid_22_curr" hidden="1">#REF!</definedName>
    <definedName name="Med_MDC_inp_paid_22_prior" hidden="1">#REF!</definedName>
    <definedName name="Med_MDC_inp_paid_23_curr" hidden="1">#REF!</definedName>
    <definedName name="Med_MDC_inp_paid_23_prior" hidden="1">#REF!</definedName>
    <definedName name="Med_MDC_inp_paid_999_curr" hidden="1">#REF!</definedName>
    <definedName name="Med_MDC_inp_paid_999_prior" hidden="1">#REF!</definedName>
    <definedName name="Med_MDC_paid_00_curr" hidden="1">#REF!</definedName>
    <definedName name="Med_MDC_paid_00_prior" hidden="1">#REF!</definedName>
    <definedName name="Med_MDC_paid_01_curr" hidden="1">#REF!</definedName>
    <definedName name="Med_MDC_paid_01_prior" hidden="1">#REF!</definedName>
    <definedName name="Med_MDC_paid_02_curr" hidden="1">#REF!</definedName>
    <definedName name="Med_MDC_paid_02_prior" hidden="1">#REF!</definedName>
    <definedName name="Med_MDC_paid_03_curr" hidden="1">#REF!</definedName>
    <definedName name="Med_MDC_paid_03_prior" hidden="1">#REF!</definedName>
    <definedName name="Med_MDC_paid_04_curr" hidden="1">#REF!</definedName>
    <definedName name="Med_MDC_paid_04_prior" hidden="1">#REF!</definedName>
    <definedName name="Med_MDC_paid_05_curr" hidden="1">#REF!</definedName>
    <definedName name="Med_MDC_paid_05_prior" hidden="1">#REF!</definedName>
    <definedName name="Med_MDC_paid_06_curr" hidden="1">#REF!</definedName>
    <definedName name="Med_MDC_paid_06_prior" hidden="1">#REF!</definedName>
    <definedName name="Med_MDC_paid_07_curr" hidden="1">#REF!</definedName>
    <definedName name="Med_MDC_paid_07_prior" hidden="1">#REF!</definedName>
    <definedName name="Med_MDC_paid_08_curr" hidden="1">#REF!</definedName>
    <definedName name="Med_MDC_paid_08_prior" hidden="1">#REF!</definedName>
    <definedName name="Med_MDC_paid_09_curr" hidden="1">#REF!</definedName>
    <definedName name="Med_MDC_paid_09_prior" hidden="1">#REF!</definedName>
    <definedName name="Med_MDC_paid_10_curr" hidden="1">#REF!</definedName>
    <definedName name="Med_MDC_paid_10_prior" hidden="1">#REF!</definedName>
    <definedName name="Med_MDC_paid_11_curr" hidden="1">#REF!</definedName>
    <definedName name="Med_MDC_paid_11_prior" hidden="1">#REF!</definedName>
    <definedName name="Med_MDC_paid_12_curr" hidden="1">#REF!</definedName>
    <definedName name="Med_MDC_paid_12_prior" hidden="1">#REF!</definedName>
    <definedName name="Med_MDC_paid_13_curr" hidden="1">#REF!</definedName>
    <definedName name="Med_MDC_paid_13_prior" hidden="1">#REF!</definedName>
    <definedName name="Med_MDC_paid_14_curr" hidden="1">#REF!</definedName>
    <definedName name="Med_MDC_paid_14_prior" hidden="1">#REF!</definedName>
    <definedName name="Med_MDC_paid_15_curr" hidden="1">#REF!</definedName>
    <definedName name="Med_MDC_paid_15_prior" hidden="1">#REF!</definedName>
    <definedName name="Med_MDC_paid_16_curr" hidden="1">#REF!</definedName>
    <definedName name="Med_MDC_paid_16_prior" hidden="1">#REF!</definedName>
    <definedName name="Med_MDC_paid_17_curr" hidden="1">#REF!</definedName>
    <definedName name="Med_MDC_paid_17_prior" hidden="1">#REF!</definedName>
    <definedName name="Med_MDC_paid_18_curr" hidden="1">#REF!</definedName>
    <definedName name="Med_MDC_paid_18_prior" hidden="1">#REF!</definedName>
    <definedName name="Med_MDC_paid_19_curr" hidden="1">#REF!</definedName>
    <definedName name="Med_MDC_paid_19_prior" hidden="1">#REF!</definedName>
    <definedName name="Med_MDC_paid_20_curr" hidden="1">#REF!</definedName>
    <definedName name="Med_MDC_paid_20_prior" hidden="1">#REF!</definedName>
    <definedName name="Med_MDC_paid_21_curr" hidden="1">#REF!</definedName>
    <definedName name="Med_MDC_paid_21_prior" hidden="1">#REF!</definedName>
    <definedName name="Med_MDC_paid_22_curr" hidden="1">#REF!</definedName>
    <definedName name="Med_MDC_paid_22_prior" hidden="1">#REF!</definedName>
    <definedName name="Med_MDC_paid_23_curr" hidden="1">#REF!</definedName>
    <definedName name="Med_MDC_paid_23_prior" hidden="1">#REF!</definedName>
    <definedName name="Med_MDC_paid_999_curr" hidden="1">#REF!</definedName>
    <definedName name="Med_MDC_paid_999_prior" hidden="1">#REF!</definedName>
    <definedName name="Med_months_curr" hidden="1">#REF!</definedName>
    <definedName name="Med_months_prior" hidden="1">#REF!</definedName>
    <definedName name="Med_non_facility_billed_network_curr" hidden="1">#REF!</definedName>
    <definedName name="Med_non_facility_billed_network_prior" hidden="1">#REF!</definedName>
    <definedName name="Med_non_facility_network_discount_curr" hidden="1">#REF!</definedName>
    <definedName name="Med_non_facility_network_discount_prior" hidden="1">#REF!</definedName>
    <definedName name="Med_num_employees_curr" hidden="1">#REF!</definedName>
    <definedName name="Med_num_employees_prior" hidden="1">#REF!</definedName>
    <definedName name="Med_num_members_curr" hidden="1">#REF!</definedName>
    <definedName name="Med_num_members_prior" hidden="1">#REF!</definedName>
    <definedName name="Med_office_visits_count_curr" hidden="1">#REF!</definedName>
    <definedName name="Med_office_visits_count_prior" hidden="1">#REF!</definedName>
    <definedName name="Med_other_discount_admin_savings_amt_curr" hidden="1">#REF!</definedName>
    <definedName name="Med_other_discount_admin_savings_amt_prior" hidden="1">#REF!</definedName>
    <definedName name="Med_other_discount_billed_amt_curr" hidden="1">#REF!</definedName>
    <definedName name="Med_other_discount_billed_amt_prior" hidden="1">#REF!</definedName>
    <definedName name="Med_paid_amt_above_threshold_curr" hidden="1">#REF!</definedName>
    <definedName name="Med_paid_amt_above_threshold_prior" hidden="1">#REF!</definedName>
    <definedName name="Med_paid_amt_amb_surgeries_curr" hidden="1">#REF!</definedName>
    <definedName name="Med_paid_amt_amb_surgeries_prior" hidden="1">#REF!</definedName>
    <definedName name="Med_paid_amt_amb_visits_curr" hidden="1">#REF!</definedName>
    <definedName name="Med_paid_amt_amb_visits_prior" hidden="1">#REF!</definedName>
    <definedName name="Med_paid_amt_curr" hidden="1">#REF!</definedName>
    <definedName name="Med_paid_amt_er_visits_curr" hidden="1">#REF!</definedName>
    <definedName name="Med_paid_amt_er_visits_prior" hidden="1">#REF!</definedName>
    <definedName name="Med_paid_amt_female_0_19_curr" hidden="1">#REF!</definedName>
    <definedName name="Med_paid_amt_female_0_19_prior" hidden="1">#REF!</definedName>
    <definedName name="Med_paid_amt_female_20_44_curr" hidden="1">#REF!</definedName>
    <definedName name="Med_paid_amt_female_20_44_prior" hidden="1">#REF!</definedName>
    <definedName name="Med_paid_amt_female_45_64_curr" hidden="1">#REF!</definedName>
    <definedName name="Med_paid_amt_female_45_64_prior" hidden="1">#REF!</definedName>
    <definedName name="Med_paid_amt_female_65_over_curr" hidden="1">#REF!</definedName>
    <definedName name="Med_paid_amt_female_65_over_prior" hidden="1">#REF!</definedName>
    <definedName name="Med_paid_amt_home_health_curr" hidden="1">#REF!</definedName>
    <definedName name="Med_paid_amt_home_health_prior" hidden="1">#REF!</definedName>
    <definedName name="Med_paid_amt_inp_days_curr" hidden="1">#REF!</definedName>
    <definedName name="Med_paid_amt_inp_days_prior" hidden="1">#REF!</definedName>
    <definedName name="Med_paid_amt_inp_surgeries_curr" hidden="1">#REF!</definedName>
    <definedName name="Med_paid_amt_inp_surgeries_prior" hidden="1">#REF!</definedName>
    <definedName name="Med_paid_amt_lab_serv_curr" hidden="1">#REF!</definedName>
    <definedName name="Med_paid_amt_lab_serv_prior" hidden="1">#REF!</definedName>
    <definedName name="Med_paid_amt_male_0_19_curr" hidden="1">#REF!</definedName>
    <definedName name="Med_paid_amt_male_0_19_prior" hidden="1">#REF!</definedName>
    <definedName name="Med_paid_amt_male_20_44_curr" hidden="1">#REF!</definedName>
    <definedName name="Med_paid_amt_male_20_44_prior" hidden="1">#REF!</definedName>
    <definedName name="Med_paid_amt_male_45_64_curr" hidden="1">#REF!</definedName>
    <definedName name="Med_paid_amt_male_45_64_prior" hidden="1">#REF!</definedName>
    <definedName name="Med_paid_amt_male_65_over_curr" hidden="1">#REF!</definedName>
    <definedName name="Med_paid_amt_male_65_over_prior" hidden="1">#REF!</definedName>
    <definedName name="Med_paid_amt_med_rx_curr" hidden="1">#REF!</definedName>
    <definedName name="Med_paid_amt_med_rx_prior" hidden="1">#REF!</definedName>
    <definedName name="Med_paid_amt_med_visits_curr" hidden="1">#REF!</definedName>
    <definedName name="Med_paid_amt_med_visits_prior" hidden="1">#REF!</definedName>
    <definedName name="Med_paid_amt_mental_health_curr" hidden="1">#REF!</definedName>
    <definedName name="Med_paid_amt_mental_health_prior" hidden="1">#REF!</definedName>
    <definedName name="Med_paid_amt_misc_med_curr" hidden="1">#REF!</definedName>
    <definedName name="Med_paid_amt_misc_med_prior" hidden="1">#REF!</definedName>
    <definedName name="Med_paid_amt_office_surgeries_curr" hidden="1">#REF!</definedName>
    <definedName name="Med_paid_amt_office_surgeries_prior" hidden="1">#REF!</definedName>
    <definedName name="Med_paid_amt_prim_off_visits_curr" hidden="1">#REF!</definedName>
    <definedName name="Med_paid_amt_prim_off_visits_prior" hidden="1">#REF!</definedName>
    <definedName name="Med_paid_amt_prior" hidden="1">#REF!</definedName>
    <definedName name="Med_paid_amt_rad_serv_curr" hidden="1">#REF!</definedName>
    <definedName name="Med_paid_amt_rad_serv_prior" hidden="1">#REF!</definedName>
    <definedName name="Med_paid_amt_spec_office_visits_curr" hidden="1">#REF!</definedName>
    <definedName name="Med_paid_amt_spec_office_visits_prior" hidden="1">#REF!</definedName>
    <definedName name="Med_paid_amt_unknown_0_19_curr" hidden="1">#REF!</definedName>
    <definedName name="Med_paid_amt_unknown_0_19_prior" hidden="1">#REF!</definedName>
    <definedName name="Med_paid_amt_unknown_20_44_curr" hidden="1">#REF!</definedName>
    <definedName name="Med_paid_amt_unknown_20_44_prior" hidden="1">#REF!</definedName>
    <definedName name="Med_paid_amt_unknown_45_64_curr" hidden="1">#REF!</definedName>
    <definedName name="Med_paid_amt_unknown_45_64_prior" hidden="1">#REF!</definedName>
    <definedName name="Med_paid_amt_unknown_65_over_curr" hidden="1">#REF!</definedName>
    <definedName name="Med_paid_amt_unknown_65_over_prior" hidden="1">#REF!</definedName>
    <definedName name="Med_paid_encounter_lab_rad_curr" hidden="1">#REF!</definedName>
    <definedName name="Med_paid_encounter_lab_rad_prior" hidden="1">#REF!</definedName>
    <definedName name="Med_paid_encounter_other_curr" hidden="1">#REF!</definedName>
    <definedName name="Med_paid_encounter_other_prior" hidden="1">#REF!</definedName>
    <definedName name="Med_paid_encounter_prim_phys_curr" hidden="1">#REF!</definedName>
    <definedName name="Med_paid_encounter_prim_phys_prior" hidden="1">#REF!</definedName>
    <definedName name="Med_paid_encounter_spec_phys_curr" hidden="1">#REF!</definedName>
    <definedName name="Med_paid_encounter_spec_phys_prior" hidden="1">#REF!</definedName>
    <definedName name="Med_paid_other_curr" hidden="1">#REF!</definedName>
    <definedName name="Med_paid_other_prior" hidden="1">#REF!</definedName>
    <definedName name="Med_par_admit_count_curr" hidden="1">#REF!</definedName>
    <definedName name="Med_par_admit_count_prior" hidden="1">#REF!</definedName>
    <definedName name="Med_par_paid_amt_curr" hidden="1">#REF!</definedName>
    <definedName name="Med_par_paid_amt_prior" hidden="1">#REF!</definedName>
    <definedName name="Med_par_phys_office_visits_count_curr" hidden="1">#REF!</definedName>
    <definedName name="Med_par_phys_office_visits_count_prior" hidden="1">#REF!</definedName>
    <definedName name="Med_phys_discount_admin_savings_amt_curr" hidden="1">#REF!</definedName>
    <definedName name="Med_phys_discount_admin_savings_amt_prior" hidden="1">#REF!</definedName>
    <definedName name="Med_phys_discount_billed_amt_curr" hidden="1">#REF!</definedName>
    <definedName name="Med_phys_discount_billed_amt_prior" hidden="1">#REF!</definedName>
    <definedName name="Med_phys_office_visits_count_curr" hidden="1">#REF!</definedName>
    <definedName name="Med_phys_office_visits_count_prior" hidden="1">#REF!</definedName>
    <definedName name="Med_phys_par_negot_savings_amt_curr" hidden="1">#REF!</definedName>
    <definedName name="Med_phys_par_negot_savings_amt_prior" hidden="1">#REF!</definedName>
    <definedName name="Med_phys_par_r_c_savings_amt_curr" hidden="1">#REF!</definedName>
    <definedName name="Med_phys_par_r_c_savings_amt_prior" hidden="1">#REF!</definedName>
    <definedName name="Med_surgery_count_curr" hidden="1">#REF!</definedName>
    <definedName name="Med_surgery_count_prior" hidden="1">#REF!</definedName>
    <definedName name="Med_total_billed_network_curr" hidden="1">#REF!</definedName>
    <definedName name="Med_total_billed_network_prior" hidden="1">#REF!</definedName>
    <definedName name="Med_total_network_discount_curr" hidden="1">#REF!</definedName>
    <definedName name="Med_total_network_discount_prior" hidden="1">#REF!</definedName>
    <definedName name="Med_total_par_negot_savings_amt_curr" hidden="1">#REF!</definedName>
    <definedName name="Med_total_par_negot_savings_amt_prior" hidden="1">#REF!</definedName>
    <definedName name="Med_total_par_r_c_savings_amt_curr" hidden="1">#REF!</definedName>
    <definedName name="Med_total_par_r_c_savings_amt_prior" hidden="1">#REF!</definedName>
    <definedName name="Med_unknown_mem_0_19_curr" hidden="1">#REF!</definedName>
    <definedName name="Med_unknown_mem_0_19_prior" hidden="1">#REF!</definedName>
    <definedName name="Med_unknown_mem_20_44_curr" hidden="1">#REF!</definedName>
    <definedName name="Med_unknown_mem_20_44_prior" hidden="1">#REF!</definedName>
    <definedName name="Med_unknown_mem_45_64_curr" hidden="1">#REF!</definedName>
    <definedName name="Med_unknown_mem_45_64_prior" hidden="1">#REF!</definedName>
    <definedName name="Med_unknown_mem_65_over_curr" hidden="1">#REF!</definedName>
    <definedName name="Med_unknown_mem_65_over_prior" hidden="1">#REF!</definedName>
    <definedName name="Med_unknown_members_curr" hidden="1">#REF!</definedName>
    <definedName name="Med_unknown_members_prior" hidden="1">#REF!</definedName>
    <definedName name="MEDFEE1" localSheetId="0">#REF!</definedName>
    <definedName name="MEDFEE1" localSheetId="3">#REF!</definedName>
    <definedName name="MEDFEE1" localSheetId="2">#REF!</definedName>
    <definedName name="MEDFEE1" localSheetId="1">#REF!</definedName>
    <definedName name="MEDFEE1" localSheetId="4">#REF!</definedName>
    <definedName name="MEDFEE1" localSheetId="5">#REF!</definedName>
    <definedName name="MEDFEE1" localSheetId="7">#REF!</definedName>
    <definedName name="MEDFEE1" localSheetId="6">#REF!</definedName>
    <definedName name="MEDFEE1">#REF!</definedName>
    <definedName name="MEDFEE2" localSheetId="0">#REF!</definedName>
    <definedName name="MEDFEE2" localSheetId="3">#REF!</definedName>
    <definedName name="MEDFEE2" localSheetId="2">#REF!</definedName>
    <definedName name="MEDFEE2" localSheetId="1">#REF!</definedName>
    <definedName name="MEDFEE2" localSheetId="4">#REF!</definedName>
    <definedName name="MEDFEE2" localSheetId="5">#REF!</definedName>
    <definedName name="MEDFEE2" localSheetId="7">#REF!</definedName>
    <definedName name="MEDFEE2" localSheetId="6">#REF!</definedName>
    <definedName name="MEDFEE2">#REF!</definedName>
    <definedName name="MEDICAL" localSheetId="0">#REF!</definedName>
    <definedName name="MEDICAL" localSheetId="3">#REF!</definedName>
    <definedName name="MEDICAL" localSheetId="2">#REF!</definedName>
    <definedName name="MEDICAL" localSheetId="1">#REF!</definedName>
    <definedName name="MEDICAL" localSheetId="4">#REF!</definedName>
    <definedName name="MEDICAL" localSheetId="5">#REF!</definedName>
    <definedName name="MEDICAL" localSheetId="7">#REF!</definedName>
    <definedName name="MEDICAL" localSheetId="6">#REF!</definedName>
    <definedName name="MEDICAL">#REF!</definedName>
    <definedName name="Medical_Catastrophic_Current_Range" hidden="1">#REF!</definedName>
    <definedName name="Medical_Catastrophic_Prior_Range" hidden="1">#REF!</definedName>
    <definedName name="medical_sort1" hidden="1">#REF!</definedName>
    <definedName name="medical_sort2" hidden="1">#REF!</definedName>
    <definedName name="medical_sort3" hidden="1">#REF!</definedName>
    <definedName name="medical_sort4" hidden="1">#REF!</definedName>
    <definedName name="medical_sort5" hidden="1">#REF!</definedName>
    <definedName name="medical_sorta" hidden="1">#REF!</definedName>
    <definedName name="medical_sortb" hidden="1">#REF!</definedName>
    <definedName name="medical_sortc" hidden="1">#REF!</definedName>
    <definedName name="medical_sortd" hidden="1">#REF!</definedName>
    <definedName name="medical_sorte" hidden="1">#REF!</definedName>
    <definedName name="MedicalIndemnityProduct" hidden="1">#REF!</definedName>
    <definedName name="MedPlans">#REF!</definedName>
    <definedName name="mod_claims_curr" hidden="1">#REF!</definedName>
    <definedName name="mod_claims_prior" hidden="1">#REF!</definedName>
    <definedName name="mod_copay_amt_curr" hidden="1">#REF!</definedName>
    <definedName name="mod_copay_amt_prior" hidden="1">#REF!</definedName>
    <definedName name="mod_paid_amt_curr" hidden="1">#REF!</definedName>
    <definedName name="mod_paid_amt_prior" hidden="1">#REF!</definedName>
    <definedName name="mod_plan_paid_amt_curr" hidden="1">#REF!</definedName>
    <definedName name="mod_plan_paid_amt_prior" hidden="1">#REF!</definedName>
    <definedName name="month" localSheetId="18">#REF!/'Kais 200 vs Reg 400'!EstimatedMonthlySalary</definedName>
    <definedName name="month" localSheetId="20">#REF!/'Kais 500 vs Reg 500 '!EstimatedMonthlySalary</definedName>
    <definedName name="month" localSheetId="19">#REF!/'Kais HDHP vs Reg HDHP'!EstimatedMonthlySalary</definedName>
    <definedName name="month" localSheetId="24">#REF!/[0]!EstimatedMonthlySalary</definedName>
    <definedName name="month" localSheetId="23">#REF!/[0]!EstimatedMonthlySalary</definedName>
    <definedName name="month" localSheetId="22">#REF!/[0]!EstimatedMonthlySalary</definedName>
    <definedName name="month" localSheetId="21">#REF!/[0]!EstimatedMonthlySalary</definedName>
    <definedName name="month">#REF!/EstimatedMonthlySalary</definedName>
    <definedName name="MonthData" localSheetId="18">#REF!</definedName>
    <definedName name="MonthData" localSheetId="20">#REF!</definedName>
    <definedName name="MonthData" localSheetId="19">#REF!</definedName>
    <definedName name="MonthData">#REF!</definedName>
    <definedName name="multisource_util_curr" hidden="1">#REF!</definedName>
    <definedName name="multisource_util_prior" hidden="1">#REF!</definedName>
    <definedName name="MUMJU" hidden="1">#REF!</definedName>
    <definedName name="n">#REF!</definedName>
    <definedName name="NetMedicalPaidClaims">OFFSET(#REF!,0,0,COUNTA(#REF!)-1)</definedName>
    <definedName name="NewRates" hidden="1">{#N/A,#N/A,FALSE,"Paid Claims";#N/A,#N/A,FALSE,"Cumulative Paid Claims";#N/A,#N/A,FALSE,"Completion Ratios";#N/A,#N/A,FALSE,"Claim Reserve Analysis";#N/A,#N/A,FALSE,"Paid Claims % of Est Inc";#N/A,#N/A,FALSE,"Trends in Pure Premium";#N/A,#N/A,FALSE,"Trends in Paid Claims";#N/A,#N/A,FALSE,"Reserve Analysis"}</definedName>
    <definedName name="NewRates2" hidden="1">{#N/A,#N/A,TRUE,"Parameters";#N/A,#N/A,TRUE,"Paid Claims";#N/A,#N/A,TRUE,"Cumulative Paid Claims";#N/A,#N/A,TRUE,"Completion Ratios";#N/A,#N/A,TRUE,"Claim Reserve Analysis";#N/A,#N/A,TRUE,"Paid Claims % of Est Inc";#N/A,#N/A,TRUE,"Qtly Paid % of Est Inc";#N/A,#N/A,TRUE,"Trends in Pure Premium";#N/A,#N/A,TRUE,"Trends in Paid Claims";#N/A,#N/A,TRUE,"Trend Summary";#N/A,#N/A,TRUE,"Reserve Analysis"}</definedName>
    <definedName name="nhhf" hidden="1">#REF!</definedName>
    <definedName name="NO_AEXCEL_BOB_DATA" hidden="1">#REF!</definedName>
    <definedName name="NO_AEXCEL_Member_Data" hidden="1">#REF!</definedName>
    <definedName name="NO_BOB_Data" hidden="1">#REF!</definedName>
    <definedName name="NO_Member_Data" hidden="1">#REF!</definedName>
    <definedName name="NO_Member_Dental_Data" hidden="1">#REF!</definedName>
    <definedName name="NONAexcelMedicalProduct" hidden="1">#REF!</definedName>
    <definedName name="NONAHFMedicalProduct" hidden="1">#REF!</definedName>
    <definedName name="NONAHFRxMedicalProduct" hidden="1">#REF!</definedName>
    <definedName name="NonCred" localSheetId="0">#REF!</definedName>
    <definedName name="NonCred" localSheetId="3">#REF!</definedName>
    <definedName name="NonCred" localSheetId="2">#REF!</definedName>
    <definedName name="NonCred" localSheetId="1">#REF!</definedName>
    <definedName name="NonCred" localSheetId="4">#REF!</definedName>
    <definedName name="NonCred" localSheetId="5">#REF!</definedName>
    <definedName name="NonCred" localSheetId="7">#REF!</definedName>
    <definedName name="NonCred" localSheetId="6">#REF!</definedName>
    <definedName name="NonCred">#REF!</definedName>
    <definedName name="November2016" localSheetId="12">#REF!</definedName>
    <definedName name="November2016" localSheetId="13">#REF!</definedName>
    <definedName name="November2016">#REF!</definedName>
    <definedName name="NU" hidden="1">#REF!</definedName>
    <definedName name="num_brand_claims_curr" hidden="1">#REF!</definedName>
    <definedName name="num_brand_claims_prior" hidden="1">#REF!</definedName>
    <definedName name="num_brand_multisource_claims_curr" hidden="1">#REF!</definedName>
    <definedName name="num_brand_multisource_claims_prior" hidden="1">#REF!</definedName>
    <definedName name="num_brand_singlesource_claims_curr" hidden="1">#REF!</definedName>
    <definedName name="num_brand_singlesource_claims_prior" hidden="1">#REF!</definedName>
    <definedName name="num_claims_class_A_curr" hidden="1">#REF!</definedName>
    <definedName name="num_claims_class_A_prior" hidden="1">#REF!</definedName>
    <definedName name="num_claims_class_B_curr" hidden="1">#REF!</definedName>
    <definedName name="num_claims_class_B_prior" hidden="1">#REF!</definedName>
    <definedName name="num_claims_class_C_curr" hidden="1">#REF!</definedName>
    <definedName name="num_claims_class_C_prior" hidden="1">#REF!</definedName>
    <definedName name="num_claims_class_D_curr" hidden="1">#REF!</definedName>
    <definedName name="num_claims_class_D_prior" hidden="1">#REF!</definedName>
    <definedName name="num_claims_class_E_curr" hidden="1">#REF!</definedName>
    <definedName name="num_claims_class_E_prior" hidden="1">#REF!</definedName>
    <definedName name="num_claims_class_F_curr" hidden="1">#REF!</definedName>
    <definedName name="num_claims_class_F_prior" hidden="1">#REF!</definedName>
    <definedName name="num_claims_class_G_curr" hidden="1">#REF!</definedName>
    <definedName name="num_claims_class_G_prior" hidden="1">#REF!</definedName>
    <definedName name="num_claims_class_H_curr" hidden="1">#REF!</definedName>
    <definedName name="num_claims_class_H_prior" hidden="1">#REF!</definedName>
    <definedName name="num_claims_class_I_curr" hidden="1">#REF!</definedName>
    <definedName name="num_claims_class_I_prior" hidden="1">#REF!</definedName>
    <definedName name="num_claims_class_J_curr" hidden="1">#REF!</definedName>
    <definedName name="num_claims_class_J_prior" hidden="1">#REF!</definedName>
    <definedName name="num_claims_class_K_curr" hidden="1">#REF!</definedName>
    <definedName name="num_claims_class_K_prior" hidden="1">#REF!</definedName>
    <definedName name="num_claims_class_L_curr" hidden="1">#REF!</definedName>
    <definedName name="num_claims_class_L_prior" hidden="1">#REF!</definedName>
    <definedName name="num_claims_class_M_curr" hidden="1">#REF!</definedName>
    <definedName name="num_claims_class_M_prior" hidden="1">#REF!</definedName>
    <definedName name="num_claims_class_N_curr" hidden="1">#REF!</definedName>
    <definedName name="num_claims_class_N_prior" hidden="1">#REF!</definedName>
    <definedName name="num_claims_class_O_curr" hidden="1">#REF!</definedName>
    <definedName name="num_claims_class_O_prior" hidden="1">#REF!</definedName>
    <definedName name="num_claims_class_OTHER_curr" hidden="1">#REF!</definedName>
    <definedName name="num_claims_class_OTHER_prior" hidden="1">#REF!</definedName>
    <definedName name="num_claims_class_P_curr" hidden="1">#REF!</definedName>
    <definedName name="num_claims_class_P_prior" hidden="1">#REF!</definedName>
    <definedName name="num_claims_class_Q_curr" hidden="1">#REF!</definedName>
    <definedName name="num_claims_class_Q_prior" hidden="1">#REF!</definedName>
    <definedName name="num_claims_class_R_curr" hidden="1">#REF!</definedName>
    <definedName name="num_claims_class_R_prior" hidden="1">#REF!</definedName>
    <definedName name="num_claims_curr" hidden="1">#REF!</definedName>
    <definedName name="num_claims_prior" hidden="1">#REF!</definedName>
    <definedName name="num_formulary_claims_curr" hidden="1">#REF!</definedName>
    <definedName name="num_formulary_claims_prior" hidden="1">#REF!</definedName>
    <definedName name="num_gen_subst_claims_curr" hidden="1">#REF!</definedName>
    <definedName name="num_gen_subst_claims_prior" hidden="1">#REF!</definedName>
    <definedName name="num_generic_claims_curr" hidden="1">#REF!</definedName>
    <definedName name="num_generic_claims_prior" hidden="1">#REF!</definedName>
    <definedName name="num_mod_brand_formulary_claims_curr" hidden="1">#REF!</definedName>
    <definedName name="num_mod_brand_formulary_claims_prior" hidden="1">#REF!</definedName>
    <definedName name="num_mod_generic_claims_curr" hidden="1">#REF!</definedName>
    <definedName name="num_mod_generic_claims_prior" hidden="1">#REF!</definedName>
    <definedName name="num_mod_non_brand_formulary_claims_curr" hidden="1">#REF!</definedName>
    <definedName name="num_mod_non_brand_formulary_claims_prior" hidden="1">#REF!</definedName>
    <definedName name="num_retail_brand_formulary_claims_curr" hidden="1">#REF!</definedName>
    <definedName name="num_retail_brand_formulary_claims_prior" hidden="1">#REF!</definedName>
    <definedName name="num_retail_generic_claims_curr" hidden="1">#REF!</definedName>
    <definedName name="num_retail_generic_claims_prior" hidden="1">#REF!</definedName>
    <definedName name="num_retail_non_brand_formulary_claims_curr" hidden="1">#REF!</definedName>
    <definedName name="num_retail_non_brand_formulary_claims_prior" hidden="1">#REF!</definedName>
    <definedName name="num_rx_claims_brand_mod_curr" hidden="1">#REF!</definedName>
    <definedName name="num_rx_claims_brand_mod_prior" hidden="1">#REF!</definedName>
    <definedName name="num_rx_claims_brand_retail_curr" hidden="1">#REF!</definedName>
    <definedName name="num_rx_claims_brand_retail_prior" hidden="1">#REF!</definedName>
    <definedName name="num_rx_claims_mac_mod_curr" hidden="1">#REF!</definedName>
    <definedName name="num_rx_claims_mac_mod_prior" hidden="1">#REF!</definedName>
    <definedName name="num_rx_claims_mac_retail_curr" hidden="1">#REF!</definedName>
    <definedName name="num_rx_claims_mac_retail_prior" hidden="1">#REF!</definedName>
    <definedName name="num_rx_claims_non_mac_mod_curr" hidden="1">#REF!</definedName>
    <definedName name="num_rx_claims_non_mac_mod_prior" hidden="1">#REF!</definedName>
    <definedName name="num_rx_claims_non_mac_retail_curr" hidden="1">#REF!</definedName>
    <definedName name="num_rx_claims_non_mac_retail_prior" hidden="1">#REF!</definedName>
    <definedName name="num_util_members_class_A_curr" hidden="1">#REF!</definedName>
    <definedName name="num_util_members_class_A_prior" hidden="1">#REF!</definedName>
    <definedName name="num_util_members_class_B_curr" hidden="1">#REF!</definedName>
    <definedName name="num_util_members_class_B_prior" hidden="1">#REF!</definedName>
    <definedName name="num_util_members_class_C_curr" hidden="1">#REF!</definedName>
    <definedName name="num_util_members_class_C_prior" hidden="1">#REF!</definedName>
    <definedName name="num_util_members_class_D_curr" hidden="1">#REF!</definedName>
    <definedName name="num_util_members_class_D_prior" hidden="1">#REF!</definedName>
    <definedName name="num_util_members_class_E_curr" hidden="1">#REF!</definedName>
    <definedName name="num_util_members_class_E_prior" hidden="1">#REF!</definedName>
    <definedName name="num_util_members_class_F_curr" hidden="1">#REF!</definedName>
    <definedName name="num_util_members_class_F_prior" hidden="1">#REF!</definedName>
    <definedName name="num_util_members_class_G_curr" hidden="1">#REF!</definedName>
    <definedName name="num_util_members_class_G_prior" hidden="1">#REF!</definedName>
    <definedName name="num_util_members_class_H_curr" hidden="1">#REF!</definedName>
    <definedName name="num_util_members_class_H_prior" hidden="1">#REF!</definedName>
    <definedName name="num_util_members_class_I_curr" hidden="1">#REF!</definedName>
    <definedName name="num_util_members_class_I_prior" hidden="1">#REF!</definedName>
    <definedName name="num_util_members_class_J_curr" hidden="1">#REF!</definedName>
    <definedName name="num_util_members_class_J_prior" hidden="1">#REF!</definedName>
    <definedName name="num_util_members_class_K_curr" hidden="1">#REF!</definedName>
    <definedName name="num_util_members_class_K_prior" hidden="1">#REF!</definedName>
    <definedName name="num_util_members_class_L_curr" hidden="1">#REF!</definedName>
    <definedName name="num_util_members_class_L_prior" hidden="1">#REF!</definedName>
    <definedName name="num_util_members_class_M_curr" hidden="1">#REF!</definedName>
    <definedName name="num_util_members_class_M_prior" hidden="1">#REF!</definedName>
    <definedName name="num_util_members_class_N_curr" hidden="1">#REF!</definedName>
    <definedName name="num_util_members_class_N_prior" hidden="1">#REF!</definedName>
    <definedName name="num_util_members_class_O_curr" hidden="1">#REF!</definedName>
    <definedName name="num_util_members_class_O_prior" hidden="1">#REF!</definedName>
    <definedName name="num_util_members_class_OTHER_curr" hidden="1">#REF!</definedName>
    <definedName name="num_util_members_class_OTHER_prior" hidden="1">#REF!</definedName>
    <definedName name="num_util_members_class_P_curr" hidden="1">#REF!</definedName>
    <definedName name="num_util_members_class_P_prior" hidden="1">#REF!</definedName>
    <definedName name="num_util_members_class_Q_curr" hidden="1">#REF!</definedName>
    <definedName name="num_util_members_class_Q_prior" hidden="1">#REF!</definedName>
    <definedName name="num_util_members_class_R_curr" hidden="1">#REF!</definedName>
    <definedName name="num_util_members_class_R_prior" hidden="1">#REF!</definedName>
    <definedName name="num_util_members_curr" hidden="1">#REF!</definedName>
    <definedName name="num_util_members_prior" hidden="1">#REF!</definedName>
    <definedName name="Number_of_Current_Subscribers" hidden="1">#REF!</definedName>
    <definedName name="Number_of_Prior_FI_Products" hidden="1">#REF!</definedName>
    <definedName name="Number_of_Prior_SI_Products" hidden="1">#REF!</definedName>
    <definedName name="NumberOfAccountsSelected" hidden="1">#REF!</definedName>
    <definedName name="NumberOfNetworksSelected" hidden="1">#REF!</definedName>
    <definedName name="NumberOfPlansSelected" hidden="1">#REF!</definedName>
    <definedName name="NumberofProducts" hidden="1">#REF!</definedName>
    <definedName name="NumberOfSubGroupsSelected" hidden="1">#REF!</definedName>
    <definedName name="OAPtbl" localSheetId="0">#REF!</definedName>
    <definedName name="OAPtbl" localSheetId="3">#REF!</definedName>
    <definedName name="OAPtbl" localSheetId="2">#REF!</definedName>
    <definedName name="OAPtbl" localSheetId="1">#REF!</definedName>
    <definedName name="OAPtbl" localSheetId="4">#REF!</definedName>
    <definedName name="OAPtbl" localSheetId="5">#REF!</definedName>
    <definedName name="OAPtbl" localSheetId="7">#REF!</definedName>
    <definedName name="OAPtbl" localSheetId="6">#REF!</definedName>
    <definedName name="OAPtbl">#REF!</definedName>
    <definedName name="October2016" localSheetId="12">#REF!</definedName>
    <definedName name="October2016" localSheetId="13">#REF!</definedName>
    <definedName name="October2016">#REF!</definedName>
    <definedName name="October2017" localSheetId="12">#REF!</definedName>
    <definedName name="October2017" localSheetId="13">#REF!</definedName>
    <definedName name="October2017">#REF!</definedName>
    <definedName name="OCTOBER2022">#REF!</definedName>
    <definedName name="ONE">#N/A</definedName>
    <definedName name="opl" hidden="1">#REF!</definedName>
    <definedName name="OPWt" localSheetId="0">#REF!</definedName>
    <definedName name="OPWt" localSheetId="3">#REF!</definedName>
    <definedName name="OPWt" localSheetId="2">#REF!</definedName>
    <definedName name="OPWt" localSheetId="1">#REF!</definedName>
    <definedName name="OPWt" localSheetId="4">#REF!</definedName>
    <definedName name="OPWt" localSheetId="5">#REF!</definedName>
    <definedName name="OPWt" localSheetId="7">#REF!</definedName>
    <definedName name="OPWt" localSheetId="6">#REF!</definedName>
    <definedName name="OPWt">#REF!</definedName>
    <definedName name="ORIG">#REF!</definedName>
    <definedName name="original">#REF!</definedName>
    <definedName name="ORIGINAL1">#REF!</definedName>
    <definedName name="original11" localSheetId="12">#REF!</definedName>
    <definedName name="original11" localSheetId="13">#REF!</definedName>
    <definedName name="original11">#REF!</definedName>
    <definedName name="Original2" localSheetId="12">#REF!</definedName>
    <definedName name="Original2" localSheetId="13">#REF!</definedName>
    <definedName name="Original2">#REF!</definedName>
    <definedName name="ORRxtrend">#REF!</definedName>
    <definedName name="Ortho" hidden="1">{"EHPCMED",#N/A,FALSE,"EHPC"}</definedName>
    <definedName name="OtherOregonLoad">#REF!</definedName>
    <definedName name="P">#N/A</definedName>
    <definedName name="PageNumbers" hidden="1">#REF!</definedName>
    <definedName name="paid_female_0_19_curr" hidden="1">#REF!</definedName>
    <definedName name="paid_female_0_19_prior" hidden="1">#REF!</definedName>
    <definedName name="paid_female_20_44_curr" hidden="1">#REF!</definedName>
    <definedName name="paid_female_20_44_prior" hidden="1">#REF!</definedName>
    <definedName name="paid_female_45_64_curr" hidden="1">#REF!</definedName>
    <definedName name="paid_female_45_64_prior" hidden="1">#REF!</definedName>
    <definedName name="paid_female_65_over_curr" hidden="1">#REF!</definedName>
    <definedName name="paid_female_65_over_prior" hidden="1">#REF!</definedName>
    <definedName name="paid_male_0_19_curr" hidden="1">#REF!</definedName>
    <definedName name="paid_male_0_19_prior" hidden="1">#REF!</definedName>
    <definedName name="paid_male_20_44_curr" hidden="1">#REF!</definedName>
    <definedName name="paid_male_20_44_prior" hidden="1">#REF!</definedName>
    <definedName name="paid_male_45_64_curr" hidden="1">#REF!</definedName>
    <definedName name="paid_male_45_64_prior" hidden="1">#REF!</definedName>
    <definedName name="paid_male_65_over_curr" hidden="1">#REF!</definedName>
    <definedName name="paid_male_65_over_prior" hidden="1">#REF!</definedName>
    <definedName name="Parameters" localSheetId="18">#REF!</definedName>
    <definedName name="Parameters" localSheetId="20">#REF!</definedName>
    <definedName name="Parameters" localSheetId="19">#REF!</definedName>
    <definedName name="Parameters">#REF!</definedName>
    <definedName name="Participation">#REF!</definedName>
    <definedName name="PercentAboveBelow" localSheetId="18">IF(#REF!/'Kais 200 vs Reg 400'!EstimatedMonthlySalary&gt;=0.08,"above","below")</definedName>
    <definedName name="PercentAboveBelow" localSheetId="20">IF(#REF!/'Kais 500 vs Reg 500 '!EstimatedMonthlySalary&gt;=0.08,"above","below")</definedName>
    <definedName name="PercentAboveBelow" localSheetId="19">IF(#REF!/'Kais HDHP vs Reg HDHP'!EstimatedMonthlySalary&gt;=0.08,"above","below")</definedName>
    <definedName name="PercentAboveBelow" localSheetId="24">IF(#REF!/[0]!EstimatedMonthlySalary&gt;=0.08,"above","below")</definedName>
    <definedName name="PercentAboveBelow" localSheetId="23">IF(#REF!/[0]!EstimatedMonthlySalary&gt;=0.08,"above","below")</definedName>
    <definedName name="PercentAboveBelow" localSheetId="22">IF(#REF!/[0]!EstimatedMonthlySalary&gt;=0.08,"above","below")</definedName>
    <definedName name="PercentAboveBelow" localSheetId="21">IF(#REF!/[0]!EstimatedMonthlySalary&gt;=0.08,"above","below")</definedName>
    <definedName name="PercentAboveBelow">IF(#REF!/EstimatedMonthlySalary&gt;=0.08,"above","below")</definedName>
    <definedName name="PercentageOfIncome">"CollegeLoans[[#Totals],[Monthly Payment]]/EstimatedMonthlySalary"</definedName>
    <definedName name="PercentageOfMonthlyIncome" localSheetId="18">#REF!/'Kais 200 vs Reg 400'!EstimatedMonthlySalary</definedName>
    <definedName name="PercentageOfMonthlyIncome" localSheetId="20">#REF!/'Kais 500 vs Reg 500 '!EstimatedMonthlySalary</definedName>
    <definedName name="PercentageOfMonthlyIncome" localSheetId="19">#REF!/'Kais HDHP vs Reg HDHP'!EstimatedMonthlySalary</definedName>
    <definedName name="PercentageOfMonthlyIncome" localSheetId="24">#REF!/[0]!EstimatedMonthlySalary</definedName>
    <definedName name="PercentageOfMonthlyIncome" localSheetId="23">#REF!/[0]!EstimatedMonthlySalary</definedName>
    <definedName name="PercentageOfMonthlyIncome" localSheetId="22">#REF!/[0]!EstimatedMonthlySalary</definedName>
    <definedName name="PercentageOfMonthlyIncome" localSheetId="21">#REF!/[0]!EstimatedMonthlySalary</definedName>
    <definedName name="PercentageOfMonthlyIncome">#REF!/EstimatedMonthlySalary</definedName>
    <definedName name="Plans">#REF!</definedName>
    <definedName name="POOL3" localSheetId="0">#REF!</definedName>
    <definedName name="POOL3" localSheetId="3">#REF!</definedName>
    <definedName name="POOL3" localSheetId="2">#REF!</definedName>
    <definedName name="POOL3" localSheetId="1">#REF!</definedName>
    <definedName name="POOL3" localSheetId="4">#REF!</definedName>
    <definedName name="POOL3" localSheetId="5">#REF!</definedName>
    <definedName name="POOL3" localSheetId="7">#REF!</definedName>
    <definedName name="POOL3" localSheetId="6">#REF!</definedName>
    <definedName name="POOL3">#REF!</definedName>
    <definedName name="PoolingPt" hidden="1">#REF!</definedName>
    <definedName name="PortMedTrend">#REF!</definedName>
    <definedName name="PortRiderTrend">#REF!</definedName>
    <definedName name="POSBase">#REF!</definedName>
    <definedName name="PPOBase">#REF!</definedName>
    <definedName name="PPOMedtrend">#REF!</definedName>
    <definedName name="PPORidertrend">#REF!</definedName>
    <definedName name="preventive">#REF!</definedName>
    <definedName name="primary_payor_ind" hidden="1">#REF!</definedName>
    <definedName name="_xlnm.Print_Area" localSheetId="14">Dental!$A$1:$I$45</definedName>
    <definedName name="_xlnm.Print_Area" localSheetId="15">'Dental PEPM'!$A$1:$I$45</definedName>
    <definedName name="_xlnm.Print_Area" localSheetId="24">'Kaiser HSA'!$A$2:$N$13</definedName>
    <definedName name="_xlnm.Print_Area" localSheetId="23">'Kaiser w Opt'!$A$2:$N$24</definedName>
    <definedName name="_xlnm.Print_Area" localSheetId="12">'Medical &amp; Rx Total'!$A$1:$M$46</definedName>
    <definedName name="_xlnm.Print_Area" localSheetId="13">'Medical &amp; Rx Total (PEPM)'!$A$1:$M$46</definedName>
    <definedName name="_xlnm.Print_Area" localSheetId="0">'Medical_Rx_Vision (RGA Symetra)'!$B$1:$L$48</definedName>
    <definedName name="_xlnm.Print_Area" localSheetId="3">'Medical_Rx_Vision (RGA) ($100K)'!$B$1:$L$48</definedName>
    <definedName name="_xlnm.Print_Area" localSheetId="2">'Medical_Rx_Vision (RGA) ($125)'!$B$1:$L$48</definedName>
    <definedName name="_xlnm.Print_Area" localSheetId="1">'Medical_Rx_Vision (RGA) ($150K)'!$B$1:$L$48</definedName>
    <definedName name="_xlnm.Print_Area" localSheetId="4">'Medical_Rx_Vision (RGA) ($200K)'!$B$1:$L$48</definedName>
    <definedName name="_xlnm.Print_Area" localSheetId="5">'Medical_Rx_Vision (RGA) ($225K)'!$B$1:$L$48</definedName>
    <definedName name="_xlnm.Print_Area" localSheetId="8">'Rate History (Dental)'!$A$1:$I$35</definedName>
    <definedName name="_xlnm.Print_Area" localSheetId="22">'Regence HSA with VSP'!$A$2:$N$14</definedName>
    <definedName name="_xlnm.Print_Area" localSheetId="21">'Regence with VSP'!$A$2:$N$24</definedName>
    <definedName name="_xlnm.Print_Area" localSheetId="7">'SL Actuarial Options'!$A$1:$G$35</definedName>
    <definedName name="_xlnm.Print_Area" localSheetId="9">'Specific SL'!$A$1:$H$33</definedName>
    <definedName name="_xlnm.Print_Area" localSheetId="6">'TPA Actuarial Options'!$A$1:$E$35</definedName>
    <definedName name="_xlnm.Print_Area" localSheetId="16">Vision!$A$1:$I$46</definedName>
    <definedName name="_xlnm.Print_Area" localSheetId="17">'Vision PEPM'!$A$1:$I$46</definedName>
    <definedName name="_xlnm.Print_Area">#REF!</definedName>
    <definedName name="Print_Area_MI" localSheetId="18">#REF!</definedName>
    <definedName name="Print_Area_MI" localSheetId="20">#REF!</definedName>
    <definedName name="Print_Area_MI" localSheetId="19">#REF!</definedName>
    <definedName name="Print_Area_MI" localSheetId="0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4">#REF!</definedName>
    <definedName name="Print_Area_MI" localSheetId="5">#REF!</definedName>
    <definedName name="Print_Area_MI" localSheetId="7">#REF!</definedName>
    <definedName name="Print_Area_MI" localSheetId="6">#REF!</definedName>
    <definedName name="Print_Area_MI">#REF!</definedName>
    <definedName name="_xlnm.Print_Titles" localSheetId="0">'Medical_Rx_Vision (RGA Symetra)'!$C:$E</definedName>
    <definedName name="_xlnm.Print_Titles" localSheetId="3">'Medical_Rx_Vision (RGA) ($100K)'!$C:$E</definedName>
    <definedName name="_xlnm.Print_Titles" localSheetId="2">'Medical_Rx_Vision (RGA) ($125)'!$C:$E</definedName>
    <definedName name="_xlnm.Print_Titles" localSheetId="1">'Medical_Rx_Vision (RGA) ($150K)'!$C:$E</definedName>
    <definedName name="_xlnm.Print_Titles" localSheetId="4">'Medical_Rx_Vision (RGA) ($200K)'!$C:$E</definedName>
    <definedName name="_xlnm.Print_Titles" localSheetId="5">'Medical_Rx_Vision (RGA) ($225K)'!$C:$E</definedName>
    <definedName name="_xlnm.Print_Titles" localSheetId="7">'SL Actuarial Options'!$O:$Q</definedName>
    <definedName name="_xlnm.Print_Titles" localSheetId="6">'TPA Actuarial Options'!$M:$O</definedName>
    <definedName name="_xlnm.Print_Titles">#REF!</definedName>
    <definedName name="PRINT_TITLES_MI" localSheetId="0">#REF!</definedName>
    <definedName name="PRINT_TITLES_MI" localSheetId="3">#REF!</definedName>
    <definedName name="PRINT_TITLES_MI" localSheetId="2">#REF!</definedName>
    <definedName name="PRINT_TITLES_MI" localSheetId="1">#REF!</definedName>
    <definedName name="PRINT_TITLES_MI" localSheetId="4">#REF!</definedName>
    <definedName name="PRINT_TITLES_MI" localSheetId="5">#REF!</definedName>
    <definedName name="PRINT_TITLES_MI" localSheetId="7">#REF!</definedName>
    <definedName name="PRINT_TITLES_MI" localSheetId="6">#REF!</definedName>
    <definedName name="PRINT_TITLES_MI">#REF!</definedName>
    <definedName name="print1" localSheetId="0">#REF!</definedName>
    <definedName name="print1" localSheetId="3">#REF!</definedName>
    <definedName name="print1" localSheetId="2">#REF!</definedName>
    <definedName name="print1" localSheetId="1">#REF!</definedName>
    <definedName name="print1" localSheetId="4">#REF!</definedName>
    <definedName name="print1" localSheetId="5">#REF!</definedName>
    <definedName name="print1" localSheetId="7">#REF!</definedName>
    <definedName name="print1" localSheetId="6">#REF!</definedName>
    <definedName name="print1">#REF!</definedName>
    <definedName name="Prior_Claims_Above_50K_Check" hidden="1">#REF!</definedName>
    <definedName name="prior_yyyymmdd_incurred_end_date" hidden="1">#REF!</definedName>
    <definedName name="prior_yyyymmdd_processed_end_date" hidden="1">#REF!</definedName>
    <definedName name="ProcEndDateCurr" hidden="1">#REF!</definedName>
    <definedName name="ProcEndDatePrior" hidden="1">#REF!</definedName>
    <definedName name="ProcStartDateCurr" hidden="1">#REF!</definedName>
    <definedName name="ProcStartDatePrior" hidden="1">#REF!</definedName>
    <definedName name="Product" hidden="1">#REF!</definedName>
    <definedName name="Product_01_delete_prior" hidden="1">#REF!</definedName>
    <definedName name="Product_01_members" hidden="1">#REF!</definedName>
    <definedName name="Product_02_delete_prior" hidden="1">#REF!</definedName>
    <definedName name="Product_02_members" hidden="1">#REF!</definedName>
    <definedName name="Product_03_delete_prior" hidden="1">#REF!</definedName>
    <definedName name="Product_03_members" hidden="1">#REF!</definedName>
    <definedName name="Product_04_delete_prior" hidden="1">#REF!</definedName>
    <definedName name="Product_04_members" hidden="1">#REF!</definedName>
    <definedName name="Product_05_delete_prior" hidden="1">#REF!</definedName>
    <definedName name="Product_05_members" hidden="1">#REF!</definedName>
    <definedName name="Product_06_delete_prior" hidden="1">#REF!</definedName>
    <definedName name="Product_06_members" hidden="1">#REF!</definedName>
    <definedName name="Product_07_delete_prior" hidden="1">#REF!</definedName>
    <definedName name="Product_07_members" hidden="1">#REF!</definedName>
    <definedName name="Product_08_delete_prior" hidden="1">#REF!</definedName>
    <definedName name="Product_08_members" hidden="1">#REF!</definedName>
    <definedName name="Product_09_delete_prior" hidden="1">#REF!</definedName>
    <definedName name="Product_09_members" hidden="1">#REF!</definedName>
    <definedName name="Product_10_delete_prior" hidden="1">#REF!</definedName>
    <definedName name="Product_10_members" hidden="1">#REF!</definedName>
    <definedName name="Product_11_delete_prior" hidden="1">#REF!</definedName>
    <definedName name="Product_11_members" hidden="1">#REF!</definedName>
    <definedName name="Product_12_delete_prior" hidden="1">#REF!</definedName>
    <definedName name="Product_12_members" hidden="1">#REF!</definedName>
    <definedName name="Product_13_delete_prior" hidden="1">#REF!</definedName>
    <definedName name="Product_13_members" hidden="1">#REF!</definedName>
    <definedName name="Product_14_delete_prior" hidden="1">#REF!</definedName>
    <definedName name="Product_14_members" hidden="1">#REF!</definedName>
    <definedName name="Product_15_delete_prior" hidden="1">#REF!</definedName>
    <definedName name="Product_15_members" hidden="1">#REF!</definedName>
    <definedName name="Product_30_delete_prior" hidden="1">#REF!</definedName>
    <definedName name="Product_30_members" hidden="1">#REF!</definedName>
    <definedName name="Product_40_delete_prior" hidden="1">#REF!</definedName>
    <definedName name="Product_40_members" hidden="1">#REF!</definedName>
    <definedName name="Product_41_delete_prior" hidden="1">#REF!</definedName>
    <definedName name="Product_41_members" hidden="1">#REF!</definedName>
    <definedName name="Product_42_delete_prior" hidden="1">#REF!</definedName>
    <definedName name="Product_42_members" hidden="1">#REF!</definedName>
    <definedName name="Product_43_delete_prior" hidden="1">#REF!</definedName>
    <definedName name="Product_43_members" hidden="1">#REF!</definedName>
    <definedName name="Product_44_delete_prior" hidden="1">#REF!</definedName>
    <definedName name="Product_44_members" hidden="1">#REF!</definedName>
    <definedName name="Product_45_delete_prior" hidden="1">#REF!</definedName>
    <definedName name="Product_45_members" hidden="1">#REF!</definedName>
    <definedName name="Product_46_delete_prior" hidden="1">#REF!</definedName>
    <definedName name="Product_46_members" hidden="1">#REF!</definedName>
    <definedName name="Product_47_delete_prior" hidden="1">#REF!</definedName>
    <definedName name="Product_47_members" hidden="1">#REF!</definedName>
    <definedName name="Product_48_delete_prior" hidden="1">#REF!</definedName>
    <definedName name="Product_48_members" hidden="1">#REF!</definedName>
    <definedName name="Product_49_delete_prior" hidden="1">#REF!</definedName>
    <definedName name="Product_49_members" hidden="1">#REF!</definedName>
    <definedName name="Product_50_delete_prior" hidden="1">#REF!</definedName>
    <definedName name="Product_50_members" hidden="1">#REF!</definedName>
    <definedName name="Product_51_delete_prior" hidden="1">#REF!</definedName>
    <definedName name="Product_51_members" hidden="1">#REF!</definedName>
    <definedName name="Product_52_delete_prior" hidden="1">#REF!</definedName>
    <definedName name="Product_52_members" hidden="1">#REF!</definedName>
    <definedName name="Product_53_delete_prior" hidden="1">#REF!</definedName>
    <definedName name="Product_53_members" hidden="1">#REF!</definedName>
    <definedName name="Product_54_delete_prior" hidden="1">#REF!</definedName>
    <definedName name="Product_54_members" hidden="1">#REF!</definedName>
    <definedName name="Product_55_delete_prior" hidden="1">#REF!</definedName>
    <definedName name="Product_55_members" hidden="1">#REF!</definedName>
    <definedName name="Product_56_delete_prior" hidden="1">#REF!</definedName>
    <definedName name="Product_56_members" hidden="1">#REF!</definedName>
    <definedName name="Product_57_delete_prior" hidden="1">#REF!</definedName>
    <definedName name="Product_57_members" hidden="1">#REF!</definedName>
    <definedName name="Product_58_delete_prior" hidden="1">#REF!</definedName>
    <definedName name="Product_58_members" hidden="1">#REF!</definedName>
    <definedName name="Product_59_delete_prior" hidden="1">#REF!</definedName>
    <definedName name="Product_59_members" hidden="1">#REF!</definedName>
    <definedName name="Product_68_delete_prior" hidden="1">#REF!</definedName>
    <definedName name="Product_68_members" hidden="1">#REF!</definedName>
    <definedName name="Product_69_delete_prior" hidden="1">#REF!</definedName>
    <definedName name="Product_69_members" hidden="1">#REF!</definedName>
    <definedName name="Product_70_delete_prior" hidden="1">#REF!</definedName>
    <definedName name="Product_70_members" hidden="1">#REF!</definedName>
    <definedName name="Product_71_delete_prior" hidden="1">#REF!</definedName>
    <definedName name="Product_71_members" hidden="1">#REF!</definedName>
    <definedName name="Product_72_delete_prior" hidden="1">#REF!</definedName>
    <definedName name="Product_72_members" hidden="1">#REF!</definedName>
    <definedName name="Product_73_delete_prior" hidden="1">#REF!</definedName>
    <definedName name="Product_73_members" hidden="1">#REF!</definedName>
    <definedName name="Product_74_delete_prior" hidden="1">#REF!</definedName>
    <definedName name="Product_74_members" hidden="1">#REF!</definedName>
    <definedName name="Product_75_delete_prior" hidden="1">#REF!</definedName>
    <definedName name="Product_75_members" hidden="1">#REF!</definedName>
    <definedName name="Product_76_delete_prior" hidden="1">#REF!</definedName>
    <definedName name="Product_76_members" hidden="1">#REF!</definedName>
    <definedName name="Product_99_delete_prior" hidden="1">#REF!</definedName>
    <definedName name="Product_99_members" hidden="1">#REF!</definedName>
    <definedName name="Product_Check" hidden="1">#REF!</definedName>
    <definedName name="Product_DN_delete_prior" hidden="1">#REF!</definedName>
    <definedName name="Product_DN_members" hidden="1">#REF!</definedName>
    <definedName name="Product_Name" hidden="1">#REF!</definedName>
    <definedName name="Product_RX_delete_prior" hidden="1">#REF!</definedName>
    <definedName name="Product_RX_members" hidden="1">#REF!</definedName>
    <definedName name="Product18_or_22" hidden="1">#REF!</definedName>
    <definedName name="Product22" hidden="1">#REF!</definedName>
    <definedName name="ProfDataSource">#REF!</definedName>
    <definedName name="ProfWt" localSheetId="0">#REF!</definedName>
    <definedName name="ProfWt" localSheetId="3">#REF!</definedName>
    <definedName name="ProfWt" localSheetId="2">#REF!</definedName>
    <definedName name="ProfWt" localSheetId="1">#REF!</definedName>
    <definedName name="ProfWt" localSheetId="4">#REF!</definedName>
    <definedName name="ProfWt" localSheetId="5">#REF!</definedName>
    <definedName name="ProfWt" localSheetId="7">#REF!</definedName>
    <definedName name="ProfWt" localSheetId="6">#REF!</definedName>
    <definedName name="ProfWt">#REF!</definedName>
    <definedName name="Provider_Network_Exp_Dental_Range" hidden="1">#REF!</definedName>
    <definedName name="Provider_Network_Exp_Medical_Range" hidden="1">#REF!</definedName>
    <definedName name="PSUName" hidden="1">#REF!</definedName>
    <definedName name="PSUNumber" hidden="1">#REF!</definedName>
    <definedName name="qwe" hidden="1">#REF!</definedName>
    <definedName name="RATE" localSheetId="0">#REF!</definedName>
    <definedName name="RATE" localSheetId="3">#REF!</definedName>
    <definedName name="RATE" localSheetId="2">#REF!</definedName>
    <definedName name="RATE" localSheetId="1">#REF!</definedName>
    <definedName name="RATE" localSheetId="4">#REF!</definedName>
    <definedName name="RATE" localSheetId="5">#REF!</definedName>
    <definedName name="RATE" localSheetId="7">#REF!</definedName>
    <definedName name="RATE" localSheetId="6">#REF!</definedName>
    <definedName name="RATE">#REF!</definedName>
    <definedName name="RateChart">#REF!</definedName>
    <definedName name="Regence" localSheetId="18">OFFSET(#REF!,0,1,1,COUNTA(#REF!)-1)</definedName>
    <definedName name="Regence" localSheetId="20">OFFSET(#REF!,0,1,1,COUNTA(#REF!)-1)</definedName>
    <definedName name="Regence" localSheetId="19">OFFSET(#REF!,0,1,1,COUNTA(#REF!)-1)</definedName>
    <definedName name="Regence">OFFSET(#REF!,0,1,1,COUNTA(#REF!)-1)</definedName>
    <definedName name="Remove_Dental_Combined_Section_Check" hidden="1">#REF!</definedName>
    <definedName name="Remove_Dental_PPO_Max_Section_Check" hidden="1">#REF!</definedName>
    <definedName name="Remove_Dental_PPO_Section_Check" hidden="1">#REF!</definedName>
    <definedName name="rend" hidden="1">#REF!</definedName>
    <definedName name="renew" localSheetId="18">#REF!</definedName>
    <definedName name="renew" localSheetId="20">#REF!</definedName>
    <definedName name="renew" localSheetId="19">#REF!</definedName>
    <definedName name="renew">#REF!</definedName>
    <definedName name="renewal" localSheetId="18">#REF!</definedName>
    <definedName name="renewal" localSheetId="20">#REF!</definedName>
    <definedName name="renewal" localSheetId="19">#REF!</definedName>
    <definedName name="renewal">#REF!</definedName>
    <definedName name="Report">#REF!</definedName>
    <definedName name="Report_Criteria_Home" hidden="1">#REF!</definedName>
    <definedName name="Report_Criteria_Range" hidden="1">#REF!</definedName>
    <definedName name="Report_Label1" localSheetId="18">#REF!</definedName>
    <definedName name="Report_Label1" localSheetId="20">#REF!</definedName>
    <definedName name="Report_Label1" localSheetId="19">#REF!</definedName>
    <definedName name="Report_Label1">#REF!</definedName>
    <definedName name="Report_Label2" localSheetId="18">#REF!</definedName>
    <definedName name="Report_Label2" localSheetId="20">#REF!</definedName>
    <definedName name="Report_Label2" localSheetId="19">#REF!</definedName>
    <definedName name="Report_Label2">#REF!</definedName>
    <definedName name="Report_Title1" localSheetId="18">#REF!</definedName>
    <definedName name="Report_Title1" localSheetId="20">#REF!</definedName>
    <definedName name="Report_Title1" localSheetId="19">#REF!</definedName>
    <definedName name="Report_Title1">#REF!</definedName>
    <definedName name="Report_Title2" localSheetId="18">#REF!</definedName>
    <definedName name="Report_Title2" localSheetId="20">#REF!</definedName>
    <definedName name="Report_Title2" localSheetId="19">#REF!</definedName>
    <definedName name="Report_Title2">#REF!</definedName>
    <definedName name="Request_ID" hidden="1">#REF!</definedName>
    <definedName name="RESERVE" localSheetId="0">#REF!</definedName>
    <definedName name="RESERVE" localSheetId="3">#REF!</definedName>
    <definedName name="RESERVE" localSheetId="2">#REF!</definedName>
    <definedName name="RESERVE" localSheetId="1">#REF!</definedName>
    <definedName name="RESERVE" localSheetId="4">#REF!</definedName>
    <definedName name="RESERVE" localSheetId="5">#REF!</definedName>
    <definedName name="RESERVE" localSheetId="7">#REF!</definedName>
    <definedName name="RESERVE" localSheetId="6">#REF!</definedName>
    <definedName name="RESERVE">#REF!</definedName>
    <definedName name="retail_claims_curr" hidden="1">#REF!</definedName>
    <definedName name="retail_claims_prior" hidden="1">#REF!</definedName>
    <definedName name="retail_copay_amt_curr" hidden="1">#REF!</definedName>
    <definedName name="retail_copay_amt_prior" hidden="1">#REF!</definedName>
    <definedName name="retail_paid_amt_curr" hidden="1">#REF!</definedName>
    <definedName name="retail_paid_amt_prior" hidden="1">#REF!</definedName>
    <definedName name="retail_plan_paid_amt_curr" hidden="1">#REF!</definedName>
    <definedName name="retail_plan_paid_amt_prior" hidden="1">#REF!</definedName>
    <definedName name="Retention">#REF!</definedName>
    <definedName name="rew" hidden="1">#REF!</definedName>
    <definedName name="RHTTJY" hidden="1">#REF!</definedName>
    <definedName name="Riders">#REF!</definedName>
    <definedName name="RnlSummary" localSheetId="18">#REF!</definedName>
    <definedName name="RnlSummary" localSheetId="20">#REF!</definedName>
    <definedName name="RnlSummary" localSheetId="19">#REF!</definedName>
    <definedName name="RnlSummary">#REF!</definedName>
    <definedName name="row_height_current" hidden="1">#REF!</definedName>
    <definedName name="rty" hidden="1">#REF!</definedName>
    <definedName name="Run_Date" hidden="1">#REF!</definedName>
    <definedName name="Run_TOC_Switch" hidden="1">#REF!</definedName>
    <definedName name="rx">#REF!</definedName>
    <definedName name="Rx_AHF_avg_age_members_curr" hidden="1">#REF!</definedName>
    <definedName name="Rx_AHF_avg_age_members_prior" hidden="1">#REF!</definedName>
    <definedName name="Rx_AHF_female_mem_0_19_curr" hidden="1">#REF!</definedName>
    <definedName name="Rx_AHF_female_mem_0_19_prior" hidden="1">#REF!</definedName>
    <definedName name="Rx_AHF_female_mem_20_44_curr" hidden="1">#REF!</definedName>
    <definedName name="Rx_AHF_female_mem_20_44_prior" hidden="1">#REF!</definedName>
    <definedName name="Rx_AHF_female_mem_45_64_curr" hidden="1">#REF!</definedName>
    <definedName name="Rx_AHF_female_mem_45_64_prior" hidden="1">#REF!</definedName>
    <definedName name="Rx_AHF_female_mem_65_over_curr" hidden="1">#REF!</definedName>
    <definedName name="Rx_AHF_female_mem_65_over_prior" hidden="1">#REF!</definedName>
    <definedName name="Rx_AHF_female_members_curr" hidden="1">#REF!</definedName>
    <definedName name="Rx_AHF_female_members_prior" hidden="1">#REF!</definedName>
    <definedName name="Rx_AHF_Ind" hidden="1">#REF!</definedName>
    <definedName name="Rx_AHF_male_mem_0_19_curr" hidden="1">#REF!</definedName>
    <definedName name="Rx_AHF_male_mem_0_19_prior" hidden="1">#REF!</definedName>
    <definedName name="Rx_AHF_male_mem_20_44_curr" hidden="1">#REF!</definedName>
    <definedName name="Rx_AHF_male_mem_20_44_prior" hidden="1">#REF!</definedName>
    <definedName name="Rx_AHF_male_mem_45_64_curr" hidden="1">#REF!</definedName>
    <definedName name="Rx_AHF_male_mem_45_64_prior" hidden="1">#REF!</definedName>
    <definedName name="Rx_AHF_male_mem_65_over_curr" hidden="1">#REF!</definedName>
    <definedName name="Rx_AHF_male_mem_65_over_prior" hidden="1">#REF!</definedName>
    <definedName name="Rx_AHF_male_members_curr" hidden="1">#REF!</definedName>
    <definedName name="Rx_AHF_male_members_prior" hidden="1">#REF!</definedName>
    <definedName name="Rx_AHF_months_curr" hidden="1">#REF!</definedName>
    <definedName name="Rx_AHF_months_prior" hidden="1">#REF!</definedName>
    <definedName name="Rx_AHF_num_employees_curr" hidden="1">#REF!</definedName>
    <definedName name="Rx_AHF_num_employees_prior" hidden="1">#REF!</definedName>
    <definedName name="Rx_AHF_num_members_curr" hidden="1">#REF!</definedName>
    <definedName name="Rx_AHF_num_members_prior" hidden="1">#REF!</definedName>
    <definedName name="Rx_AHF_unknown_mem_0_19_curr" hidden="1">#REF!</definedName>
    <definedName name="Rx_AHF_unknown_mem_0_19_prior" hidden="1">#REF!</definedName>
    <definedName name="Rx_AHF_unknown_mem_20_44_curr" hidden="1">#REF!</definedName>
    <definedName name="Rx_AHF_unknown_mem_20_44_prior" hidden="1">#REF!</definedName>
    <definedName name="Rx_AHF_unknown_mem_45_64_curr" hidden="1">#REF!</definedName>
    <definedName name="Rx_AHF_unknown_mem_45_64_prior" hidden="1">#REF!</definedName>
    <definedName name="Rx_AHF_unknown_mem_65_over_curr" hidden="1">#REF!</definedName>
    <definedName name="Rx_AHF_unknown_mem_65_over_prior" hidden="1">#REF!</definedName>
    <definedName name="Rx_AHF_unknown_members_curr" hidden="1">#REF!</definedName>
    <definedName name="Rx_AHF_unknown_members_prior" hidden="1">#REF!</definedName>
    <definedName name="Rx_avg_age_members_curr" hidden="1">#REF!</definedName>
    <definedName name="Rx_avg_age_members_prior" hidden="1">#REF!</definedName>
    <definedName name="Rx_data_check" hidden="1">#REF!</definedName>
    <definedName name="Rx_Demographics_Range" hidden="1">#REF!</definedName>
    <definedName name="Rx_female_mem_0_19_curr" hidden="1">#REF!</definedName>
    <definedName name="Rx_female_mem_0_19_prior" hidden="1">#REF!</definedName>
    <definedName name="Rx_female_mem_20_44_curr" hidden="1">#REF!</definedName>
    <definedName name="Rx_female_mem_20_44_prior" hidden="1">#REF!</definedName>
    <definedName name="Rx_female_mem_45_64_curr" hidden="1">#REF!</definedName>
    <definedName name="Rx_female_mem_45_64_prior" hidden="1">#REF!</definedName>
    <definedName name="Rx_female_mem_65_over_curr" hidden="1">#REF!</definedName>
    <definedName name="Rx_female_mem_65_over_prior" hidden="1">#REF!</definedName>
    <definedName name="Rx_female_members_curr" hidden="1">#REF!</definedName>
    <definedName name="Rx_female_members_prior" hidden="1">#REF!</definedName>
    <definedName name="Rx_Formulary_Analysis_Range" hidden="1">#REF!</definedName>
    <definedName name="Rx_GPI_Roll_Up_Categories_Range" hidden="1">#REF!</definedName>
    <definedName name="Rx_Key_Statistics_by_Generic_Range" hidden="1">#REF!</definedName>
    <definedName name="Rx_Key_Statistics_Range" hidden="1">#REF!</definedName>
    <definedName name="Rx_male_mem_0_19_curr" hidden="1">#REF!</definedName>
    <definedName name="Rx_male_mem_0_19_prior" hidden="1">#REF!</definedName>
    <definedName name="Rx_male_mem_20_44_curr" hidden="1">#REF!</definedName>
    <definedName name="Rx_male_mem_20_44_prior" hidden="1">#REF!</definedName>
    <definedName name="Rx_male_mem_45_64_curr" hidden="1">#REF!</definedName>
    <definedName name="Rx_male_mem_45_64_prior" hidden="1">#REF!</definedName>
    <definedName name="Rx_male_mem_65_over_curr" hidden="1">#REF!</definedName>
    <definedName name="Rx_male_mem_65_over_prior" hidden="1">#REF!</definedName>
    <definedName name="Rx_male_members_curr" hidden="1">#REF!</definedName>
    <definedName name="Rx_male_members_prior" hidden="1">#REF!</definedName>
    <definedName name="Rx_months_curr" hidden="1">#REF!</definedName>
    <definedName name="Rx_months_prior" hidden="1">#REF!</definedName>
    <definedName name="Rx_Network_Analysis_Savings_Range" hidden="1">#REF!</definedName>
    <definedName name="Rx_num_employees_curr" hidden="1">#REF!</definedName>
    <definedName name="Rx_num_employees_prior" hidden="1">#REF!</definedName>
    <definedName name="Rx_num_members_curr" hidden="1">#REF!</definedName>
    <definedName name="Rx_num_members_prior" hidden="1">#REF!</definedName>
    <definedName name="Rx_paid_amt_prior" hidden="1">#REF!</definedName>
    <definedName name="Rx_Retail_vs_MOD_Impact_Range" hidden="1">#REF!</definedName>
    <definedName name="Rx_Top_30_Drugs_by_Claims_Range" hidden="1">#REF!</definedName>
    <definedName name="Rx_Top_30_Drugs_by_Paid_Range" hidden="1">#REF!</definedName>
    <definedName name="Rx_unknown_mem_0_19_curr" hidden="1">#REF!</definedName>
    <definedName name="Rx_unknown_mem_0_19_prior" hidden="1">#REF!</definedName>
    <definedName name="Rx_unknown_mem_20_44_curr" hidden="1">#REF!</definedName>
    <definedName name="Rx_unknown_mem_20_44_prior" hidden="1">#REF!</definedName>
    <definedName name="Rx_unknown_mem_45_64_curr" hidden="1">#REF!</definedName>
    <definedName name="Rx_unknown_mem_45_64_prior" hidden="1">#REF!</definedName>
    <definedName name="Rx_unknown_mem_65_over_curr" hidden="1">#REF!</definedName>
    <definedName name="Rx_unknown_mem_65_over_prior" hidden="1">#REF!</definedName>
    <definedName name="Rx_unknown_members_curr" hidden="1">#REF!</definedName>
    <definedName name="Rx_unknown_members_prior" hidden="1">#REF!</definedName>
    <definedName name="RxAgeSexFactors">#REF!</definedName>
    <definedName name="RxASFThreeTier">#REF!</definedName>
    <definedName name="RXBase">#REF!</definedName>
    <definedName name="saDFS" hidden="1">#REF!</definedName>
    <definedName name="sadfsdff" hidden="1">#REF!</definedName>
    <definedName name="Salary" localSheetId="18">#REF!</definedName>
    <definedName name="Salary" localSheetId="20">#REF!</definedName>
    <definedName name="Salary" localSheetId="19">#REF!</definedName>
    <definedName name="Salary" localSheetId="24">#REF!</definedName>
    <definedName name="Salary" localSheetId="23">#REF!</definedName>
    <definedName name="Salary" localSheetId="22">#REF!</definedName>
    <definedName name="Salary" localSheetId="21">#REF!</definedName>
    <definedName name="Salary">#REF!</definedName>
    <definedName name="sammy" hidden="1">#REF!</definedName>
    <definedName name="SampleAreaTbl1" localSheetId="0">#REF!</definedName>
    <definedName name="SampleAreaTbl1" localSheetId="3">#REF!</definedName>
    <definedName name="SampleAreaTbl1" localSheetId="2">#REF!</definedName>
    <definedName name="SampleAreaTbl1" localSheetId="1">#REF!</definedName>
    <definedName name="SampleAreaTbl1" localSheetId="4">#REF!</definedName>
    <definedName name="SampleAreaTbl1" localSheetId="5">#REF!</definedName>
    <definedName name="SampleAreaTbl1" localSheetId="7">#REF!</definedName>
    <definedName name="SampleAreaTbl1" localSheetId="6">#REF!</definedName>
    <definedName name="SampleAreaTbl1">#REF!</definedName>
    <definedName name="SampleAreaTbl2" localSheetId="0">#REF!</definedName>
    <definedName name="SampleAreaTbl2" localSheetId="3">#REF!</definedName>
    <definedName name="SampleAreaTbl2" localSheetId="2">#REF!</definedName>
    <definedName name="SampleAreaTbl2" localSheetId="1">#REF!</definedName>
    <definedName name="SampleAreaTbl2" localSheetId="4">#REF!</definedName>
    <definedName name="SampleAreaTbl2" localSheetId="5">#REF!</definedName>
    <definedName name="SampleAreaTbl2" localSheetId="7">#REF!</definedName>
    <definedName name="SampleAreaTbl2" localSheetId="6">#REF!</definedName>
    <definedName name="SampleAreaTbl2">#REF!</definedName>
    <definedName name="SampleVendorProductTbl1" localSheetId="0">#REF!</definedName>
    <definedName name="SampleVendorProductTbl1" localSheetId="3">#REF!</definedName>
    <definedName name="SampleVendorProductTbl1" localSheetId="2">#REF!</definedName>
    <definedName name="SampleVendorProductTbl1" localSheetId="1">#REF!</definedName>
    <definedName name="SampleVendorProductTbl1" localSheetId="4">#REF!</definedName>
    <definedName name="SampleVendorProductTbl1" localSheetId="5">#REF!</definedName>
    <definedName name="SampleVendorProductTbl1" localSheetId="7">#REF!</definedName>
    <definedName name="SampleVendorProductTbl1" localSheetId="6">#REF!</definedName>
    <definedName name="SampleVendorProductTbl1">#REF!</definedName>
    <definedName name="SampleVendorProductTbl2" localSheetId="0">#REF!</definedName>
    <definedName name="SampleVendorProductTbl2" localSheetId="3">#REF!</definedName>
    <definedName name="SampleVendorProductTbl2" localSheetId="2">#REF!</definedName>
    <definedName name="SampleVendorProductTbl2" localSheetId="1">#REF!</definedName>
    <definedName name="SampleVendorProductTbl2" localSheetId="4">#REF!</definedName>
    <definedName name="SampleVendorProductTbl2" localSheetId="5">#REF!</definedName>
    <definedName name="SampleVendorProductTbl2" localSheetId="7">#REF!</definedName>
    <definedName name="SampleVendorProductTbl2" localSheetId="6">#REF!</definedName>
    <definedName name="SampleVendorProductTbl2">#REF!</definedName>
    <definedName name="Sav_Benefit_Dental_Range" hidden="1">#REF!</definedName>
    <definedName name="sbp_allowed_amt" hidden="1">#REF!</definedName>
    <definedName name="SBP_Network_Discount_Savings_Percent" hidden="1">#REF!</definedName>
    <definedName name="SBP_Percent_Allowed_Amount" hidden="1">#REF!</definedName>
    <definedName name="sdafasdf" hidden="1">#REF!</definedName>
    <definedName name="sdfasdf" hidden="1">#REF!</definedName>
    <definedName name="SDFG" hidden="1">#REF!</definedName>
    <definedName name="SECTION_1" localSheetId="0">#REF!</definedName>
    <definedName name="SECTION_1" localSheetId="3">#REF!</definedName>
    <definedName name="SECTION_1" localSheetId="2">#REF!</definedName>
    <definedName name="SECTION_1" localSheetId="1">#REF!</definedName>
    <definedName name="SECTION_1" localSheetId="4">#REF!</definedName>
    <definedName name="SECTION_1" localSheetId="5">#REF!</definedName>
    <definedName name="SECTION_1" localSheetId="7">#REF!</definedName>
    <definedName name="SECTION_1" localSheetId="6">#REF!</definedName>
    <definedName name="SECTION_1">#REF!</definedName>
    <definedName name="SelectedYear" localSheetId="18">#REF!</definedName>
    <definedName name="SelectedYear" localSheetId="20">#REF!</definedName>
    <definedName name="SelectedYear" localSheetId="19">#REF!</definedName>
    <definedName name="SelectedYear" localSheetId="24">#REF!</definedName>
    <definedName name="SelectedYear" localSheetId="23">#REF!</definedName>
    <definedName name="SelectedYear" localSheetId="22">#REF!</definedName>
    <definedName name="SelectedYear" localSheetId="21">#REF!</definedName>
    <definedName name="SelectedYear">#REF!</definedName>
    <definedName name="SEPTEMBER2017" localSheetId="12">#REF!</definedName>
    <definedName name="SEPTEMBER2017" localSheetId="13">#REF!</definedName>
    <definedName name="SEPTEMBER2017">#REF!</definedName>
    <definedName name="SEVEN">#N/A</definedName>
    <definedName name="SI_EXEC_SUMMARY_RANGE_ROW7_ROW83" hidden="1">#REF!</definedName>
    <definedName name="SI_EXEC_SUMMARY_RANGE_ROW71_ROW82" hidden="1">#REF!</definedName>
    <definedName name="si_exec_summary_row44" hidden="1">#REF!</definedName>
    <definedName name="si_exec_summary_rows56_rows65" hidden="1">#REF!</definedName>
    <definedName name="si_exec_summary_rows7_rows82" hidden="1">#REF!</definedName>
    <definedName name="si_exec_summary_rows7_rows84" hidden="1">#REF!</definedName>
    <definedName name="si_exec_summary_rows71_rows83" hidden="1">#REF!</definedName>
    <definedName name="SI_Executive_Summary_Home" hidden="1">#REF!</definedName>
    <definedName name="SI_Executive_Summary_Page" hidden="1">#REF!</definedName>
    <definedName name="SI_Executive_Summary_Page_NoData_Text" hidden="1">#REF!</definedName>
    <definedName name="SI_Executive_Summary_Range" hidden="1">#REF!</definedName>
    <definedName name="SI_FI_SBP_product_count" hidden="1">#REF!</definedName>
    <definedName name="SI_Rx_Paid_Current" hidden="1">#REF!</definedName>
    <definedName name="SI_SBP_product_count" hidden="1">#REF!</definedName>
    <definedName name="SI_SBP_Total_Prior_Members" hidden="1">#REF!</definedName>
    <definedName name="SIC">#REF!</definedName>
    <definedName name="sicload">#REF!</definedName>
    <definedName name="singlesource_util_curr" hidden="1">#REF!</definedName>
    <definedName name="singlesource_util_prior" hidden="1">#REF!</definedName>
    <definedName name="SISTD" localSheetId="18">#REF!</definedName>
    <definedName name="SISTD" localSheetId="20">#REF!</definedName>
    <definedName name="SISTD" localSheetId="19">#REF!</definedName>
    <definedName name="SISTD">#REF!</definedName>
    <definedName name="SIX">#N/A</definedName>
    <definedName name="sort_product" hidden="1">#REF!</definedName>
    <definedName name="Spec_Deductible">#REF!</definedName>
    <definedName name="Start_Data" localSheetId="18">#REF!</definedName>
    <definedName name="Start_Data" localSheetId="20">#REF!</definedName>
    <definedName name="Start_Data" localSheetId="19">#REF!</definedName>
    <definedName name="Start_Data">#REF!</definedName>
    <definedName name="Start_Triangle" localSheetId="18">#REF!</definedName>
    <definedName name="Start_Triangle" localSheetId="20">#REF!</definedName>
    <definedName name="Start_Triangle" localSheetId="19">#REF!</definedName>
    <definedName name="Start_Triangle">#REF!</definedName>
    <definedName name="staz" localSheetId="0">#REF!</definedName>
    <definedName name="staz" localSheetId="3">#REF!</definedName>
    <definedName name="staz" localSheetId="2">#REF!</definedName>
    <definedName name="staz" localSheetId="1">#REF!</definedName>
    <definedName name="staz" localSheetId="4">#REF!</definedName>
    <definedName name="staz" localSheetId="5">#REF!</definedName>
    <definedName name="staz" localSheetId="7">#REF!</definedName>
    <definedName name="staz" localSheetId="6">#REF!</definedName>
    <definedName name="staz">#REF!</definedName>
    <definedName name="std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STOP">#N/A</definedName>
    <definedName name="StopLightingCostShare" hidden="1">#REF!</definedName>
    <definedName name="StopLightingImpactCat" hidden="1">#REF!</definedName>
    <definedName name="StopLightingKeyStats" hidden="1">#REF!</definedName>
    <definedName name="StopLightingProviderNetwork" hidden="1">#REF!</definedName>
    <definedName name="StopLightStart" hidden="1">#REF!</definedName>
    <definedName name="sum_awp_amt_brand_mod_curr" hidden="1">#REF!</definedName>
    <definedName name="sum_awp_amt_brand_mod_prior" hidden="1">#REF!</definedName>
    <definedName name="sum_awp_amt_brand_retail_curr" hidden="1">#REF!</definedName>
    <definedName name="sum_awp_amt_brand_retail_prior" hidden="1">#REF!</definedName>
    <definedName name="sum_awp_amt_mac_mod_curr" hidden="1">#REF!</definedName>
    <definedName name="sum_awp_amt_mac_mod_prior" hidden="1">#REF!</definedName>
    <definedName name="sum_awp_amt_mac_retail_curr" hidden="1">#REF!</definedName>
    <definedName name="sum_awp_amt_mac_retail_prior" hidden="1">#REF!</definedName>
    <definedName name="sum_awp_amt_non_mac_mod_curr" hidden="1">#REF!</definedName>
    <definedName name="sum_awp_amt_non_mac_mod_prior" hidden="1">#REF!</definedName>
    <definedName name="sum_awp_amt_non_mac_retail_curr" hidden="1">#REF!</definedName>
    <definedName name="sum_awp_amt_non_mac_retail_prior" hidden="1">#REF!</definedName>
    <definedName name="sum_brand_multisource_avg_paid_claim_curr" hidden="1">#REF!</definedName>
    <definedName name="sum_brand_multisource_avg_paid_claim_prior" hidden="1">#REF!</definedName>
    <definedName name="sum_brand_multisource_calc_ing_curr" hidden="1">#REF!</definedName>
    <definedName name="sum_brand_multisource_calc_ing_prior" hidden="1">#REF!</definedName>
    <definedName name="sum_brand_multisource_copay_curr" hidden="1">#REF!</definedName>
    <definedName name="sum_brand_multisource_copay_prior" hidden="1">#REF!</definedName>
    <definedName name="sum_brand_multisource_paid_amt_curr" hidden="1">#REF!</definedName>
    <definedName name="sum_brand_multisource_paid_amt_prior" hidden="1">#REF!</definedName>
    <definedName name="sum_brand_singlesource_avg_paid_claim_curr" hidden="1">#REF!</definedName>
    <definedName name="sum_brand_singlesource_avg_paid_claim_prior" hidden="1">#REF!</definedName>
    <definedName name="sum_brand_singlesource_calc_ing_curr" hidden="1">#REF!</definedName>
    <definedName name="sum_brand_singlesource_calc_ing_prior" hidden="1">#REF!</definedName>
    <definedName name="sum_brand_singlesource_copay_curr" hidden="1">#REF!</definedName>
    <definedName name="sum_brand_singlesource_copay_prior" hidden="1">#REF!</definedName>
    <definedName name="sum_brand_singlesource_paid_amt_curr" hidden="1">#REF!</definedName>
    <definedName name="sum_brand_singlesource_paid_amt_prior" hidden="1">#REF!</definedName>
    <definedName name="sum_calc_ing_cost_curr" hidden="1">#REF!</definedName>
    <definedName name="sum_calc_ing_cost_prior" hidden="1">#REF!</definedName>
    <definedName name="sum_calcing_cost_amt_brand_mod_curr" hidden="1">#REF!</definedName>
    <definedName name="sum_calcing_cost_amt_brand_mod_prior" hidden="1">#REF!</definedName>
    <definedName name="sum_calcing_cost_amt_brand_retail_curr" hidden="1">#REF!</definedName>
    <definedName name="sum_calcing_cost_amt_brand_retail_prior" hidden="1">#REF!</definedName>
    <definedName name="sum_calcing_cost_amt_mac_mod_curr" hidden="1">#REF!</definedName>
    <definedName name="sum_calcing_cost_amt_mac_mod_prior" hidden="1">#REF!</definedName>
    <definedName name="sum_calcing_cost_amt_mac_retail_curr" hidden="1">#REF!</definedName>
    <definedName name="sum_calcing_cost_amt_mac_retail_prior" hidden="1">#REF!</definedName>
    <definedName name="sum_calcing_cost_amt_non_mac_mod_curr" hidden="1">#REF!</definedName>
    <definedName name="sum_calcing_cost_amt_non_mac_mod_prior" hidden="1">#REF!</definedName>
    <definedName name="sum_calcing_cost_amt_non_mac_retail_curr" hidden="1">#REF!</definedName>
    <definedName name="sum_calcing_cost_amt_non_mac_retail_prior" hidden="1">#REF!</definedName>
    <definedName name="sum_copay_curr" hidden="1">#REF!</definedName>
    <definedName name="sum_copay_prior" hidden="1">#REF!</definedName>
    <definedName name="sum_generic_avg_paid_claim_curr" hidden="1">#REF!</definedName>
    <definedName name="sum_generic_avg_paid_claim_prior" hidden="1">#REF!</definedName>
    <definedName name="sum_generic_calc_ing_curr" hidden="1">#REF!</definedName>
    <definedName name="sum_generic_calc_ing_prior" hidden="1">#REF!</definedName>
    <definedName name="sum_generic_copay_curr" hidden="1">#REF!</definedName>
    <definedName name="sum_generic_copay_prior" hidden="1">#REF!</definedName>
    <definedName name="sum_generic_paid_amt_curr" hidden="1">#REF!</definedName>
    <definedName name="sum_generic_paid_amt_prior" hidden="1">#REF!</definedName>
    <definedName name="sum_mod_brand_formulary_copay_amt_curr" hidden="1">#REF!</definedName>
    <definedName name="sum_mod_brand_formulary_copay_amt_prior" hidden="1">#REF!</definedName>
    <definedName name="sum_mod_brand_formulary_paid_amt_curr" hidden="1">#REF!</definedName>
    <definedName name="sum_mod_brand_formulary_paid_amt_prior" hidden="1">#REF!</definedName>
    <definedName name="sum_mod_brand_formulary_plan_paid_amt_curr" hidden="1">#REF!</definedName>
    <definedName name="sum_mod_brand_formulary_plan_paid_amt_prior" hidden="1">#REF!</definedName>
    <definedName name="sum_mod_calc_ing_cost_amt_curr" hidden="1">#REF!</definedName>
    <definedName name="sum_mod_calc_ing_cost_amt_prior" hidden="1">#REF!</definedName>
    <definedName name="sum_mod_generic_copay_amt_curr" hidden="1">#REF!</definedName>
    <definedName name="sum_mod_generic_copay_amt_prior" hidden="1">#REF!</definedName>
    <definedName name="sum_mod_generic_paid_amt_curr" hidden="1">#REF!</definedName>
    <definedName name="sum_mod_generic_paid_amt_prior" hidden="1">#REF!</definedName>
    <definedName name="sum_mod_generic_plan_paid_amt_curr" hidden="1">#REF!</definedName>
    <definedName name="sum_mod_generic_plan_paid_amt_prior" hidden="1">#REF!</definedName>
    <definedName name="sum_mod_non_brand_formulary_copay_amt_curr" hidden="1">#REF!</definedName>
    <definedName name="sum_mod_non_brand_formulary_copay_amt_prior" hidden="1">#REF!</definedName>
    <definedName name="sum_mod_non_brand_formulary_paid_amt_curr" hidden="1">#REF!</definedName>
    <definedName name="sum_mod_non_brand_formulary_paid_amt_prior" hidden="1">#REF!</definedName>
    <definedName name="sum_mod_non_brand_formulary_plan_paid_amt_curr" hidden="1">#REF!</definedName>
    <definedName name="sum_mod_non_brand_formulary_plan_paid_amt_prior" hidden="1">#REF!</definedName>
    <definedName name="sum_mod_prof_fee_amt_curr" hidden="1">#REF!</definedName>
    <definedName name="sum_mod_prof_fee_amt_prior" hidden="1">#REF!</definedName>
    <definedName name="sum_paid_class_A_curr" hidden="1">#REF!</definedName>
    <definedName name="sum_paid_class_A_prior" hidden="1">#REF!</definedName>
    <definedName name="sum_paid_class_B_curr" hidden="1">#REF!</definedName>
    <definedName name="sum_paid_class_B_prior" hidden="1">#REF!</definedName>
    <definedName name="sum_paid_class_C_curr" hidden="1">#REF!</definedName>
    <definedName name="sum_paid_class_C_prior" hidden="1">#REF!</definedName>
    <definedName name="sum_paid_class_D_curr" hidden="1">#REF!</definedName>
    <definedName name="sum_paid_class_D_prior" hidden="1">#REF!</definedName>
    <definedName name="sum_paid_class_E_curr" hidden="1">#REF!</definedName>
    <definedName name="sum_paid_class_E_prior" hidden="1">#REF!</definedName>
    <definedName name="sum_paid_class_F_curr" hidden="1">#REF!</definedName>
    <definedName name="sum_paid_class_F_prior" hidden="1">#REF!</definedName>
    <definedName name="sum_paid_class_G_curr" hidden="1">#REF!</definedName>
    <definedName name="sum_paid_class_G_prior" hidden="1">#REF!</definedName>
    <definedName name="sum_paid_class_H_curr" hidden="1">#REF!</definedName>
    <definedName name="sum_paid_class_H_prior" hidden="1">#REF!</definedName>
    <definedName name="sum_paid_class_I_curr" hidden="1">#REF!</definedName>
    <definedName name="sum_paid_class_I_prior" hidden="1">#REF!</definedName>
    <definedName name="sum_paid_class_J_curr" hidden="1">#REF!</definedName>
    <definedName name="sum_paid_class_J_prior" hidden="1">#REF!</definedName>
    <definedName name="sum_paid_class_K_curr" hidden="1">#REF!</definedName>
    <definedName name="sum_paid_class_K_prior" hidden="1">#REF!</definedName>
    <definedName name="sum_paid_class_L_curr" hidden="1">#REF!</definedName>
    <definedName name="sum_paid_class_L_prior" hidden="1">#REF!</definedName>
    <definedName name="sum_paid_class_M_curr" hidden="1">#REF!</definedName>
    <definedName name="sum_paid_class_M_prior" hidden="1">#REF!</definedName>
    <definedName name="sum_paid_class_N_curr" hidden="1">#REF!</definedName>
    <definedName name="sum_paid_class_N_prior" hidden="1">#REF!</definedName>
    <definedName name="sum_paid_class_O_curr" hidden="1">#REF!</definedName>
    <definedName name="sum_paid_class_O_prior" hidden="1">#REF!</definedName>
    <definedName name="sum_paid_class_OTHER_curr" hidden="1">#REF!</definedName>
    <definedName name="sum_paid_class_OTHER_prior" hidden="1">#REF!</definedName>
    <definedName name="sum_paid_class_P_curr" hidden="1">#REF!</definedName>
    <definedName name="sum_paid_class_P_prior" hidden="1">#REF!</definedName>
    <definedName name="sum_paid_class_Q_curr" hidden="1">#REF!</definedName>
    <definedName name="sum_paid_class_Q_prior" hidden="1">#REF!</definedName>
    <definedName name="sum_paid_class_R_curr" hidden="1">#REF!</definedName>
    <definedName name="sum_paid_class_R_prior" hidden="1">#REF!</definedName>
    <definedName name="sum_paid_curr" hidden="1">#REF!</definedName>
    <definedName name="sum_paid_prior" hidden="1">#REF!</definedName>
    <definedName name="sum_prof_fee_amt_brand_mod_curr" hidden="1">#REF!</definedName>
    <definedName name="sum_prof_fee_amt_brand_mod_prior" hidden="1">#REF!</definedName>
    <definedName name="sum_prof_fee_amt_brand_retail_curr" hidden="1">#REF!</definedName>
    <definedName name="sum_prof_fee_amt_brand_retail_prior" hidden="1">#REF!</definedName>
    <definedName name="sum_prof_fee_amt_mac_mod_curr" hidden="1">#REF!</definedName>
    <definedName name="sum_prof_fee_amt_mac_mod_prior" hidden="1">#REF!</definedName>
    <definedName name="sum_prof_fee_amt_mac_retail_curr" hidden="1">#REF!</definedName>
    <definedName name="sum_prof_fee_amt_mac_retail_prior" hidden="1">#REF!</definedName>
    <definedName name="sum_prof_fee_amt_non_mac_mod_curr" hidden="1">#REF!</definedName>
    <definedName name="sum_prof_fee_amt_non_mac_mod_prior" hidden="1">#REF!</definedName>
    <definedName name="sum_prof_fee_amt_non_mac_retail_curr" hidden="1">#REF!</definedName>
    <definedName name="sum_prof_fee_amt_non_mac_retail_prior" hidden="1">#REF!</definedName>
    <definedName name="sum_retail_brand_formulary_copay_amt_curr" hidden="1">#REF!</definedName>
    <definedName name="sum_retail_brand_formulary_copay_amt_prior" hidden="1">#REF!</definedName>
    <definedName name="sum_retail_brand_formulary_paid_amt_curr" hidden="1">#REF!</definedName>
    <definedName name="sum_retail_brand_formulary_paid_amt_prior" hidden="1">#REF!</definedName>
    <definedName name="sum_retail_brand_formulary_plan_paid_amt_curr" hidden="1">#REF!</definedName>
    <definedName name="sum_retail_brand_formulary_plan_paid_amt_prior" hidden="1">#REF!</definedName>
    <definedName name="sum_retail_calc_ing_cost_amt_curr" hidden="1">#REF!</definedName>
    <definedName name="sum_retail_calc_ing_cost_amt_prior" hidden="1">#REF!</definedName>
    <definedName name="sum_retail_generic_copay_amt_curr" hidden="1">#REF!</definedName>
    <definedName name="sum_retail_generic_copay_amt_prior" hidden="1">#REF!</definedName>
    <definedName name="sum_retail_generic_paid_amt_curr" hidden="1">#REF!</definedName>
    <definedName name="sum_retail_generic_paid_amt_prior" hidden="1">#REF!</definedName>
    <definedName name="sum_retail_generic_plan_paid_amt_curr" hidden="1">#REF!</definedName>
    <definedName name="sum_retail_generic_plan_paid_amt_prior" hidden="1">#REF!</definedName>
    <definedName name="sum_retail_non_brand_formulary_copay_amt_curr" hidden="1">#REF!</definedName>
    <definedName name="sum_retail_non_brand_formulary_copay_amt_prior" hidden="1">#REF!</definedName>
    <definedName name="sum_retail_non_brand_formulary_paid_amt_curr" hidden="1">#REF!</definedName>
    <definedName name="sum_retail_non_brand_formulary_paid_amt_prior" hidden="1">#REF!</definedName>
    <definedName name="sum_retail_non_brand_formulary_plan_paid_amt_curr" hidden="1">#REF!</definedName>
    <definedName name="sum_retail_non_brand_formulary_plan_paid_amt_prior" hidden="1">#REF!</definedName>
    <definedName name="sum_retail_prof_fee_amt_curr" hidden="1">#REF!</definedName>
    <definedName name="sum_retail_prof_fee_amt_prior" hidden="1">#REF!</definedName>
    <definedName name="sum_salestax_amt_brand_mod_curr" hidden="1">#REF!</definedName>
    <definedName name="sum_salestax_amt_brand_mod_prior" hidden="1">#REF!</definedName>
    <definedName name="sum_salestax_amt_brand_retail_curr" hidden="1">#REF!</definedName>
    <definedName name="sum_salestax_amt_brand_retail_prior" hidden="1">#REF!</definedName>
    <definedName name="sum_salestax_amt_mac_mod_curr" hidden="1">#REF!</definedName>
    <definedName name="sum_salestax_amt_mac_mod_prior" hidden="1">#REF!</definedName>
    <definedName name="sum_salestax_amt_mac_retail_curr" hidden="1">#REF!</definedName>
    <definedName name="sum_salestax_amt_mac_retail_prior" hidden="1">#REF!</definedName>
    <definedName name="sum_salestax_amt_non_mac_mod_curr" hidden="1">#REF!</definedName>
    <definedName name="sum_salestax_amt_non_mac_mod_prior" hidden="1">#REF!</definedName>
    <definedName name="sum_salestax_amt_non_mac_retail_curr" hidden="1">#REF!</definedName>
    <definedName name="sum_salestax_amt_non_mac_retail_prior" hidden="1">#REF!</definedName>
    <definedName name="sum_svc_copay_amt_brand_mod_curr" hidden="1">#REF!</definedName>
    <definedName name="sum_svc_copay_amt_brand_mod_prior" hidden="1">#REF!</definedName>
    <definedName name="sum_svc_copay_amt_brand_retail_curr" hidden="1">#REF!</definedName>
    <definedName name="sum_svc_copay_amt_brand_retail_prior" hidden="1">#REF!</definedName>
    <definedName name="sum_svc_copay_amt_mac_mod_curr" hidden="1">#REF!</definedName>
    <definedName name="sum_svc_copay_amt_mac_mod_prior" hidden="1">#REF!</definedName>
    <definedName name="sum_svc_copay_amt_mac_retail_curr" hidden="1">#REF!</definedName>
    <definedName name="sum_svc_copay_amt_mac_retail_prior" hidden="1">#REF!</definedName>
    <definedName name="sum_svc_copay_amt_non_mac_mod_curr" hidden="1">#REF!</definedName>
    <definedName name="sum_svc_copay_amt_non_mac_mod_prior" hidden="1">#REF!</definedName>
    <definedName name="sum_svc_copay_amt_non_mac_retail_curr" hidden="1">#REF!</definedName>
    <definedName name="sum_svc_copay_amt_non_mac_retail_prior" hidden="1">#REF!</definedName>
    <definedName name="sum_total_days_curr" hidden="1">#REF!</definedName>
    <definedName name="sum_total_days_prior" hidden="1">#REF!</definedName>
    <definedName name="summary" localSheetId="0">#REF!</definedName>
    <definedName name="summary" localSheetId="3">#REF!</definedName>
    <definedName name="summary" localSheetId="2">#REF!</definedName>
    <definedName name="summary" localSheetId="1">#REF!</definedName>
    <definedName name="summary" localSheetId="4">#REF!</definedName>
    <definedName name="summary" localSheetId="5">#REF!</definedName>
    <definedName name="summary" localSheetId="7">#REF!</definedName>
    <definedName name="summary" localSheetId="6">#REF!</definedName>
    <definedName name="summary">#REF!</definedName>
    <definedName name="Summary_by_Product_Range" hidden="1">#REF!</definedName>
    <definedName name="T">#N/A</definedName>
    <definedName name="tab_report_name" hidden="1">#REF!</definedName>
    <definedName name="tabc_report_name" hidden="1">#REF!</definedName>
    <definedName name="Target_ROP" localSheetId="18">#REF!</definedName>
    <definedName name="Target_ROP" localSheetId="20">#REF!</definedName>
    <definedName name="Target_ROP" localSheetId="19">#REF!</definedName>
    <definedName name="Target_ROP">#REF!</definedName>
    <definedName name="tbl" localSheetId="0">#REF!</definedName>
    <definedName name="tbl" localSheetId="3">#REF!</definedName>
    <definedName name="tbl" localSheetId="2">#REF!</definedName>
    <definedName name="tbl" localSheetId="1">#REF!</definedName>
    <definedName name="tbl" localSheetId="4">#REF!</definedName>
    <definedName name="tbl" localSheetId="5">#REF!</definedName>
    <definedName name="tbl" localSheetId="7">#REF!</definedName>
    <definedName name="tbl" localSheetId="6">#REF!</definedName>
    <definedName name="tbl">#REF!</definedName>
    <definedName name="Template" hidden="1">#REF!</definedName>
    <definedName name="Template_File_Name" hidden="1">#REF!</definedName>
    <definedName name="Template_Name" hidden="1">#REF!</definedName>
    <definedName name="Template_Type" hidden="1">#REF!</definedName>
    <definedName name="Template2" hidden="1">#REF!</definedName>
    <definedName name="tes" hidden="1">#REF!</definedName>
    <definedName name="THREE">#N/A</definedName>
    <definedName name="tin" localSheetId="0">#REF!</definedName>
    <definedName name="tin" localSheetId="3">#REF!</definedName>
    <definedName name="tin" localSheetId="2">#REF!</definedName>
    <definedName name="tin" localSheetId="1">#REF!</definedName>
    <definedName name="tin" localSheetId="4">#REF!</definedName>
    <definedName name="tin" localSheetId="5">#REF!</definedName>
    <definedName name="tin" localSheetId="7">#REF!</definedName>
    <definedName name="tin" localSheetId="6">#REF!</definedName>
    <definedName name="tin">#REF!</definedName>
    <definedName name="Title_Area_Start" localSheetId="18">#REF!</definedName>
    <definedName name="Title_Area_Start" localSheetId="20">#REF!</definedName>
    <definedName name="Title_Area_Start" localSheetId="19">#REF!</definedName>
    <definedName name="Title_Area_Start">#REF!</definedName>
    <definedName name="toc_correct_report_name" hidden="1">#REF!</definedName>
    <definedName name="toc_report_name" hidden="1">#REF!</definedName>
    <definedName name="Top25_Services_by_Dollar_Dental_Range" hidden="1">#REF!</definedName>
    <definedName name="totu" localSheetId="18">#REF!</definedName>
    <definedName name="totu" localSheetId="20">#REF!</definedName>
    <definedName name="totu" localSheetId="19">#REF!</definedName>
    <definedName name="totu">#REF!</definedName>
    <definedName name="Trend_Analysis_Dental_Range" hidden="1">#REF!</definedName>
    <definedName name="Trend_Analysis_Medical_Range" hidden="1">#REF!</definedName>
    <definedName name="trtryrts" hidden="1">#REF!</definedName>
    <definedName name="trtttttr" localSheetId="18">#REF!</definedName>
    <definedName name="trtttttr" localSheetId="20">#REF!</definedName>
    <definedName name="trtttttr" localSheetId="19">#REF!</definedName>
    <definedName name="trtttttr">#REF!</definedName>
    <definedName name="TWO">#N/A</definedName>
    <definedName name="ty" hidden="1">#REF!</definedName>
    <definedName name="uii" hidden="1">#REF!</definedName>
    <definedName name="UserEnteredText1" hidden="1">#REF!</definedName>
    <definedName name="UserEnteredText2" hidden="1">#REF!</definedName>
    <definedName name="UserReportName" hidden="1">#REF!</definedName>
    <definedName name="util_mem_female_0_19_curr" hidden="1">#REF!</definedName>
    <definedName name="util_mem_female_0_19_prior" hidden="1">#REF!</definedName>
    <definedName name="util_mem_female_20_44_curr" hidden="1">#REF!</definedName>
    <definedName name="util_mem_female_20_44_prior" hidden="1">#REF!</definedName>
    <definedName name="util_mem_female_45_64_curr" hidden="1">#REF!</definedName>
    <definedName name="util_mem_female_45_64_prior" hidden="1">#REF!</definedName>
    <definedName name="util_mem_female_65_over_curr" hidden="1">#REF!</definedName>
    <definedName name="util_mem_female_65_over_prior" hidden="1">#REF!</definedName>
    <definedName name="util_mem_male_0_19_curr" hidden="1">#REF!</definedName>
    <definedName name="util_mem_male_0_19_prior" hidden="1">#REF!</definedName>
    <definedName name="util_mem_male_20_44_curr" hidden="1">#REF!</definedName>
    <definedName name="util_mem_male_20_44_prior" hidden="1">#REF!</definedName>
    <definedName name="util_mem_male_45_64_curr" hidden="1">#REF!</definedName>
    <definedName name="util_mem_male_45_64_prior" hidden="1">#REF!</definedName>
    <definedName name="util_mem_male_65_over_curr" hidden="1">#REF!</definedName>
    <definedName name="util_mem_male_65_over_prior" hidden="1">#REF!</definedName>
    <definedName name="Util_Proc_Dental_Range" hidden="1">#REF!</definedName>
    <definedName name="Utilization_and_Unit_Cost_Med_Range" hidden="1">#REF!</definedName>
    <definedName name="UYIYUIKH" hidden="1">#REF!</definedName>
    <definedName name="vcx" hidden="1">#REF!</definedName>
    <definedName name="vgf" hidden="1">#REF!</definedName>
    <definedName name="VIS">#N/A</definedName>
    <definedName name="WABase">#REF!</definedName>
    <definedName name="WAMedTrend">#REF!</definedName>
    <definedName name="WARxTrend">#REF!</definedName>
    <definedName name="wbacc" hidden="1">{"KCMBSPPO",#N/A,FALSE,"KCMBSWRKSHEET";"SELECTIONSPLAN",#N/A,FALSE,"KCMBSWRKSHEET"}</definedName>
    <definedName name="wer" hidden="1">#REF!</definedName>
    <definedName name="Wow">#REF!</definedName>
    <definedName name="wrn.1998._.Renewal." hidden="1">{#N/A,#N/A,TRUE,"B&amp;M Med";#N/A,#N/A,TRUE,"CMED";#N/A,#N/A,TRUE,"Dental";#N/A,#N/A,TRUE,"Dev_Fund";#N/A,#N/A,TRUE,"SFGP Factor Calculation";#N/A,#N/A,TRUE,"Summary of Monthly Billing"}</definedName>
    <definedName name="wrn.Annual." hidden="1">{#N/A,#N/A,FALSE,"Telephone";#N/A,#N/A,FALSE,"Assessed (2)";#N/A,#N/A,FALSE,"Assessed";#N/A,#N/A,FALSE,"Benefit Utilization";#N/A,#N/A,FALSE,"Case Disposition (2)";#N/A,#N/A,FALSE,"Case Disposition";#N/A,#N/A,FALSE,"Presenting (2)";#N/A,#N/A,FALSE,"Presenting";#N/A,#N/A,FALSE,"Referral Source";#N/A,#N/A,FALSE,"Info Source";#N/A,#N/A,FALSE,"Membership cont";#N/A,#N/A,FALSE,"Membership";#N/A,#N/A,FALSE,"Account Summary";#N/A,#N/A,FALSE,"Contents "}</definedName>
    <definedName name="wrn.Approval." hidden="1">{#N/A,#N/A,FALSE,"Approval Form"}</definedName>
    <definedName name="wrn.Approval2." hidden="1">{#N/A,#N/A,FALSE,"Approval2"}</definedName>
    <definedName name="wrn.ClaimSummaries." hidden="1">{"CombinedSum",#N/A,FALSE,"ClaimAndRevenue";"WAClaims",#N/A,FALSE,"ClaimAndRevenue";"IDClaims",#N/A,FALSE,"ClaimAndRevenue";"ORClaims",#N/A,FALSE,"ClaimAndRevenue";"RXClaims",#N/A,FALSE,"ClaimAndRevenue"}</definedName>
    <definedName name="wrn.Cosmos._.Report." hidden="1">{#N/A,#N/A,FALSE,"Cosmos Report"}</definedName>
    <definedName name="wrn.Data._.Output." hidden="1">{#N/A,#N/A,TRUE,"General Group Info";#N/A,#N/A,TRUE,"Census";#N/A,#N/A,TRUE,"Claims Report";#N/A,#N/A,TRUE,"Prior Claims";#N/A,#N/A,TRUE,"Costs"}</definedName>
    <definedName name="wrn.EH_HIGHOPTION." hidden="1">{"EHPCHIGH",#N/A,FALSE,"EHPC"}</definedName>
    <definedName name="wrn.EH_LOWOPTION." hidden="1">{"EHPCLOW",#N/A,FALSE,"EHPC"}</definedName>
    <definedName name="wrn.EH_MEDOPTION." hidden="1">{"EHPCMED",#N/A,FALSE,"EHPC"}</definedName>
    <definedName name="wrn.EHPC_ALL." hidden="1">{"EHPCHIGH",#N/A,FALSE,"EHPC";"EHPCMED",#N/A,FALSE,"EHPC";"EHPCLOW",#N/A,FALSE,"EHPC"}</definedName>
    <definedName name="wrn.KCMBS_ALL." hidden="1">{"KCMBSPPO",#N/A,FALSE,"KCMBSWRKSHEET";"SELECTIONSPLAN",#N/A,FALSE,"KCMBSWRKSHEET"}</definedName>
    <definedName name="wrn.kcmbsppo." hidden="1">{"KCMBSPPO",#N/A,FALSE,"KCMBSWRKSHEET"}</definedName>
    <definedName name="wrn.Medical._.Ratio." hidden="1">{#N/A,#N/A,FALSE,"Medical Ratio"}</definedName>
    <definedName name="wrn.Print._.Full." hidden="1">{#N/A,#N/A,FALSE,"Paid Claims";#N/A,#N/A,FALSE,"Cumulative Paid Claims";#N/A,#N/A,FALSE,"Completion Ratios";#N/A,#N/A,FALSE,"Claim Reserve Analysis";#N/A,#N/A,FALSE,"Paid Claims % of Est Inc";#N/A,#N/A,FALSE,"Trends in Pure Premium";#N/A,#N/A,FALSE,"Trends in Paid Claims";#N/A,#N/A,FALSE,"Reserve Analysis"}</definedName>
    <definedName name="wrn.Print._.Limited." hidden="1">{#N/A,#N/A,TRUE,"Parameters";#N/A,#N/A,TRUE,"Paid Claims";#N/A,#N/A,TRUE,"Cumulative Paid Claims";#N/A,#N/A,TRUE,"Completion Ratios";#N/A,#N/A,TRUE,"Claim Reserve Analysis";#N/A,#N/A,TRUE,"Paid Claims % of Est Inc";#N/A,#N/A,TRUE,"Qtly Paid % of Est Inc";#N/A,#N/A,TRUE,"Trends in Pure Premium";#N/A,#N/A,TRUE,"Trends in Paid Claims";#N/A,#N/A,TRUE,"Trend Summary";#N/A,#N/A,TRUE,"Reserve Analysis"}</definedName>
    <definedName name="wrn.Quarterly." hidden="1">{#N/A,#N/A,FALSE,"Telephone";#N/A,#N/A,FALSE,"Assessed (2)";#N/A,#N/A,FALSE,"Benefit Utilization";#N/A,#N/A,FALSE,"Case Disposition (2)";#N/A,#N/A,FALSE,"Presenting (2)";#N/A,#N/A,FALSE,"Referral Source";#N/A,#N/A,FALSE,"Info Source";#N/A,#N/A,FALSE,"Membership cont";#N/A,#N/A,FALSE,"Membership";#N/A,#N/A,FALSE,"Contents ";#N/A,#N/A,FALSE,"Cover Sheet"}</definedName>
    <definedName name="wrn.Renewal." hidden="1">{#N/A,#N/A,FALSE,"Approval Form";#N/A,#N/A,FALSE,"Renewal";#N/A,#N/A,FALSE,"Cosmos Report"}</definedName>
    <definedName name="wrn.Renewal._.Justification." hidden="1">{#N/A,#N/A,FALSE,"Renewal"}</definedName>
    <definedName name="wrn.Reports." hidden="1">{#N/A,#N/A,FALSE,"Membership";#N/A,#N/A,FALSE,"Membership cont";#N/A,#N/A,FALSE,"Info Source";#N/A,#N/A,FALSE,"Referral Source";#N/A,#N/A,FALSE,"Presenting";#N/A,#N/A,FALSE,"Case Disposition";#N/A,#N/A,FALSE,"Assessed";#N/A,#N/A,FALSE,"Telephone"}</definedName>
    <definedName name="wrn.Selections_1." hidden="1">{"Selections_1",#N/A,FALSE,"KCMBSWRKSHEET"}</definedName>
    <definedName name="wrn.Selections_2." hidden="1">{"Selections_2",#N/A,FALSE,"KCMBSWRKSHEET"}</definedName>
    <definedName name="wrn.SelectionsBoth." hidden="1">{"Selections_1",#N/A,FALSE,"KCMBSWRKSHEET";"Selections_2",#N/A,FALSE,"KCMBSWRKSHEET"}</definedName>
    <definedName name="wrn.Wacortg96." hidden="1">{#N/A,#N/A,FALSE,"Summary of Monthly Billing";#N/A,#N/A,FALSE,"Narrative  ";#N/A,#N/A,FALSE,"Exp Analysis - RX";#N/A,#N/A,FALSE,"Experience Analysis for Funding";#N/A,#N/A,FALSE,"Development of Funding Reqrmnts";#N/A,#N/A,FALSE,"SFGP Factor Calculation";#N/A,#N/A,FALSE,"Official Notification Letter"}</definedName>
    <definedName name="X" localSheetId="18">#REF!</definedName>
    <definedName name="X" localSheetId="20">#REF!</definedName>
    <definedName name="X" localSheetId="19">#REF!</definedName>
    <definedName name="X">#N/A</definedName>
    <definedName name="Y" hidden="1">#REF!</definedName>
    <definedName name="Years" localSheetId="18">#REF!</definedName>
    <definedName name="Years" localSheetId="20">#REF!</definedName>
    <definedName name="Years" localSheetId="19">#REF!</definedName>
    <definedName name="Years">#REF!</definedName>
    <definedName name="yes">#N/A</definedName>
    <definedName name="ZERO">#N/A</definedName>
    <definedName name="ZIPS">#REF!</definedName>
  </definedNames>
  <calcPr calcId="191028"/>
  <pivotCaches>
    <pivotCache cacheId="0" r:id="rId3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94" l="1"/>
  <c r="H19" i="94"/>
  <c r="H20" i="94"/>
  <c r="H17" i="94"/>
  <c r="H6" i="92"/>
  <c r="E11" i="104"/>
  <c r="E5" i="104"/>
  <c r="E5" i="103"/>
  <c r="I40" i="102"/>
  <c r="I39" i="102"/>
  <c r="I38" i="102"/>
  <c r="I37" i="102"/>
  <c r="C40" i="102"/>
  <c r="C39" i="102"/>
  <c r="C38" i="102"/>
  <c r="C37" i="102"/>
  <c r="E40" i="102"/>
  <c r="E39" i="102"/>
  <c r="E38" i="102"/>
  <c r="E37" i="102"/>
  <c r="D40" i="102"/>
  <c r="D39" i="102"/>
  <c r="D38" i="102"/>
  <c r="D37" i="102"/>
  <c r="I42" i="102"/>
  <c r="H41" i="102"/>
  <c r="M40" i="102"/>
  <c r="L40" i="102"/>
  <c r="M39" i="102"/>
  <c r="L39" i="102"/>
  <c r="M38" i="102"/>
  <c r="L38" i="102"/>
  <c r="M37" i="102"/>
  <c r="M42" i="102" s="1"/>
  <c r="L37" i="102"/>
  <c r="L42" i="102" s="1"/>
  <c r="Q33" i="102"/>
  <c r="Q32" i="102"/>
  <c r="Q31" i="102"/>
  <c r="R31" i="102" s="1"/>
  <c r="S31" i="102" s="1"/>
  <c r="Q30" i="102"/>
  <c r="P17" i="102"/>
  <c r="M11" i="102"/>
  <c r="L11" i="102"/>
  <c r="M8" i="102"/>
  <c r="L8" i="102"/>
  <c r="D18" i="101"/>
  <c r="E18" i="101" s="1"/>
  <c r="C18" i="101"/>
  <c r="B18" i="101"/>
  <c r="D17" i="101"/>
  <c r="E17" i="101" s="1"/>
  <c r="C17" i="101"/>
  <c r="B17" i="101"/>
  <c r="D16" i="101"/>
  <c r="E16" i="101" s="1"/>
  <c r="C16" i="101"/>
  <c r="B16" i="101"/>
  <c r="D15" i="101"/>
  <c r="E15" i="101" s="1"/>
  <c r="C15" i="101"/>
  <c r="B15" i="101"/>
  <c r="E16" i="100"/>
  <c r="E17" i="100"/>
  <c r="E18" i="100"/>
  <c r="E15" i="100"/>
  <c r="D16" i="100"/>
  <c r="D17" i="100"/>
  <c r="D18" i="100"/>
  <c r="D15" i="100"/>
  <c r="C16" i="100"/>
  <c r="C17" i="100"/>
  <c r="C18" i="100"/>
  <c r="C15" i="100"/>
  <c r="B16" i="100"/>
  <c r="B17" i="100"/>
  <c r="B18" i="100"/>
  <c r="B15" i="100"/>
  <c r="D17" i="96"/>
  <c r="F42" i="102" l="1"/>
  <c r="E42" i="102"/>
  <c r="D42" i="102"/>
  <c r="C41" i="102"/>
  <c r="L44" i="102"/>
  <c r="L43" i="102"/>
  <c r="M44" i="102"/>
  <c r="M43" i="102"/>
  <c r="F20" i="94"/>
  <c r="D20" i="94"/>
  <c r="C20" i="94"/>
  <c r="F19" i="94"/>
  <c r="D19" i="94"/>
  <c r="C19" i="94"/>
  <c r="F18" i="94"/>
  <c r="D18" i="94"/>
  <c r="C18" i="94"/>
  <c r="F17" i="94"/>
  <c r="D17" i="94"/>
  <c r="C17" i="94"/>
  <c r="C21" i="94" s="1"/>
  <c r="G6" i="96"/>
  <c r="G17" i="96"/>
  <c r="F20" i="96"/>
  <c r="D20" i="96"/>
  <c r="C20" i="96"/>
  <c r="F19" i="96"/>
  <c r="D19" i="96"/>
  <c r="C19" i="96"/>
  <c r="F18" i="96"/>
  <c r="D18" i="96"/>
  <c r="C18" i="96"/>
  <c r="F17" i="96"/>
  <c r="C17" i="96"/>
  <c r="C21" i="96" s="1"/>
  <c r="H18" i="97"/>
  <c r="H19" i="97"/>
  <c r="H20" i="97"/>
  <c r="H17" i="97"/>
  <c r="M40" i="89"/>
  <c r="M39" i="89"/>
  <c r="M38" i="89"/>
  <c r="M37" i="89"/>
  <c r="L40" i="89"/>
  <c r="L39" i="89"/>
  <c r="L38" i="89"/>
  <c r="L37" i="89"/>
  <c r="L42" i="89" s="1"/>
  <c r="K40" i="89"/>
  <c r="K39" i="89"/>
  <c r="K38" i="89"/>
  <c r="J40" i="89"/>
  <c r="J39" i="89"/>
  <c r="J38" i="89"/>
  <c r="K37" i="89"/>
  <c r="K42" i="89" s="1"/>
  <c r="J37" i="89"/>
  <c r="M42" i="89"/>
  <c r="Q32" i="89"/>
  <c r="Q33" i="89"/>
  <c r="Q31" i="89"/>
  <c r="R31" i="89" s="1"/>
  <c r="S31" i="89" s="1"/>
  <c r="Q30" i="89" s="1"/>
  <c r="X26" i="90"/>
  <c r="Y26" i="90" s="1"/>
  <c r="AD18" i="90"/>
  <c r="AC19" i="90"/>
  <c r="AB19" i="90"/>
  <c r="AD19" i="90"/>
  <c r="P7" i="90"/>
  <c r="Q7" i="90"/>
  <c r="Q10" i="90"/>
  <c r="P10" i="90"/>
  <c r="O10" i="90"/>
  <c r="O7" i="90"/>
  <c r="AA18" i="90"/>
  <c r="Z19" i="90"/>
  <c r="AA19" i="90"/>
  <c r="Y19" i="90"/>
  <c r="N10" i="90"/>
  <c r="N7" i="90"/>
  <c r="M10" i="90"/>
  <c r="M7" i="90"/>
  <c r="L10" i="90"/>
  <c r="L7" i="90"/>
  <c r="L6" i="94"/>
  <c r="M6" i="94" s="1"/>
  <c r="F10" i="97"/>
  <c r="D10" i="97"/>
  <c r="D11" i="97" s="1"/>
  <c r="D22" i="97" s="1"/>
  <c r="C10" i="97"/>
  <c r="E9" i="97"/>
  <c r="E8" i="97"/>
  <c r="E19" i="97" s="1"/>
  <c r="E7" i="97"/>
  <c r="E18" i="97" s="1"/>
  <c r="E6" i="97"/>
  <c r="F20" i="97"/>
  <c r="D20" i="97"/>
  <c r="C20" i="97"/>
  <c r="F19" i="97"/>
  <c r="D19" i="97"/>
  <c r="C19" i="97"/>
  <c r="F18" i="97"/>
  <c r="D18" i="97"/>
  <c r="C18" i="97"/>
  <c r="F17" i="97"/>
  <c r="D17" i="97"/>
  <c r="C17" i="97"/>
  <c r="G9" i="97"/>
  <c r="G20" i="97" s="1"/>
  <c r="E20" i="97"/>
  <c r="G8" i="97"/>
  <c r="G19" i="97" s="1"/>
  <c r="G7" i="97"/>
  <c r="G18" i="97" s="1"/>
  <c r="G6" i="97"/>
  <c r="G17" i="97" s="1"/>
  <c r="J10" i="94" a="1"/>
  <c r="J10" i="94" s="1"/>
  <c r="J11" i="94" s="1"/>
  <c r="H10" i="94" a="1"/>
  <c r="H10" i="94" s="1"/>
  <c r="H11" i="94" s="1"/>
  <c r="F10" i="94"/>
  <c r="F11" i="94" s="1"/>
  <c r="F22" i="94" s="1"/>
  <c r="D10" i="94"/>
  <c r="D11" i="94" s="1"/>
  <c r="C10" i="94"/>
  <c r="T6" i="94"/>
  <c r="U6" i="94" s="1"/>
  <c r="P6" i="94"/>
  <c r="P9" i="94" s="1"/>
  <c r="I6" i="94"/>
  <c r="I7" i="94"/>
  <c r="I8" i="94"/>
  <c r="I9" i="94"/>
  <c r="F10" i="96"/>
  <c r="F21" i="96" s="1"/>
  <c r="D10" i="96"/>
  <c r="D21" i="96" s="1"/>
  <c r="C10" i="96"/>
  <c r="E9" i="96"/>
  <c r="E20" i="96" s="1"/>
  <c r="E8" i="96"/>
  <c r="E19" i="96" s="1"/>
  <c r="E7" i="96"/>
  <c r="E18" i="96" s="1"/>
  <c r="E6" i="96"/>
  <c r="E17" i="96" s="1"/>
  <c r="G9" i="96"/>
  <c r="G20" i="96" s="1"/>
  <c r="G8" i="96"/>
  <c r="G19" i="96" s="1"/>
  <c r="G7" i="96"/>
  <c r="G18" i="96" s="1"/>
  <c r="H12" i="94" l="1"/>
  <c r="D22" i="94"/>
  <c r="E44" i="102"/>
  <c r="E43" i="102"/>
  <c r="F44" i="102"/>
  <c r="F43" i="102"/>
  <c r="D21" i="94"/>
  <c r="F21" i="94"/>
  <c r="J42" i="89"/>
  <c r="I10" i="94" a="1"/>
  <c r="I10" i="94" s="1"/>
  <c r="I11" i="94" s="1"/>
  <c r="N6" i="94"/>
  <c r="O6" i="94"/>
  <c r="R6" i="94"/>
  <c r="V6" i="94"/>
  <c r="E10" i="97"/>
  <c r="E17" i="97"/>
  <c r="C21" i="97"/>
  <c r="D21" i="97"/>
  <c r="H13" i="94"/>
  <c r="J13" i="94"/>
  <c r="J12" i="94"/>
  <c r="Q9" i="94"/>
  <c r="R9" i="94"/>
  <c r="O9" i="94"/>
  <c r="T7" i="94"/>
  <c r="P8" i="94"/>
  <c r="L9" i="94"/>
  <c r="T9" i="94"/>
  <c r="V9" i="94" s="1"/>
  <c r="P10" i="94" a="1"/>
  <c r="P10" i="94" s="1"/>
  <c r="P11" i="94" s="1"/>
  <c r="L7" i="94"/>
  <c r="Q6" i="94"/>
  <c r="K6" i="94"/>
  <c r="S6" i="94"/>
  <c r="P7" i="94"/>
  <c r="L8" i="94"/>
  <c r="T8" i="94"/>
  <c r="T10" i="94" s="1" a="1"/>
  <c r="T10" i="94" s="1"/>
  <c r="T11" i="94" s="1"/>
  <c r="E10" i="96"/>
  <c r="E21" i="96" s="1"/>
  <c r="F53" i="92"/>
  <c r="F64" i="92" s="1"/>
  <c r="F75" i="92" s="1"/>
  <c r="F51" i="92"/>
  <c r="F62" i="92" s="1"/>
  <c r="F73" i="92" s="1"/>
  <c r="D50" i="92"/>
  <c r="D61" i="92" s="1"/>
  <c r="D72" i="92" s="1"/>
  <c r="G40" i="92"/>
  <c r="G51" i="92" s="1"/>
  <c r="G62" i="92" s="1"/>
  <c r="G73" i="92" s="1"/>
  <c r="F17" i="92"/>
  <c r="F28" i="92" s="1"/>
  <c r="F39" i="92" s="1"/>
  <c r="F50" i="92" s="1"/>
  <c r="F61" i="92" s="1"/>
  <c r="F72" i="92" s="1"/>
  <c r="F18" i="92"/>
  <c r="F29" i="92" s="1"/>
  <c r="F40" i="92" s="1"/>
  <c r="F19" i="92"/>
  <c r="F30" i="92" s="1"/>
  <c r="F41" i="92" s="1"/>
  <c r="F52" i="92" s="1"/>
  <c r="F63" i="92" s="1"/>
  <c r="F74" i="92" s="1"/>
  <c r="F20" i="92"/>
  <c r="F31" i="92" s="1"/>
  <c r="F42" i="92" s="1"/>
  <c r="D18" i="92"/>
  <c r="D29" i="92" s="1"/>
  <c r="D40" i="92" s="1"/>
  <c r="D51" i="92" s="1"/>
  <c r="D62" i="92" s="1"/>
  <c r="D73" i="92" s="1"/>
  <c r="D19" i="92"/>
  <c r="D30" i="92" s="1"/>
  <c r="D41" i="92" s="1"/>
  <c r="D52" i="92" s="1"/>
  <c r="D63" i="92" s="1"/>
  <c r="D74" i="92" s="1"/>
  <c r="D20" i="92"/>
  <c r="D31" i="92" s="1"/>
  <c r="D42" i="92" s="1"/>
  <c r="D53" i="92" s="1"/>
  <c r="D64" i="92" s="1"/>
  <c r="D75" i="92" s="1"/>
  <c r="D17" i="92"/>
  <c r="D28" i="92" s="1"/>
  <c r="D39" i="92" s="1"/>
  <c r="G6" i="92"/>
  <c r="G17" i="92" s="1"/>
  <c r="G28" i="92" s="1"/>
  <c r="G39" i="92" s="1"/>
  <c r="G50" i="92" s="1"/>
  <c r="G61" i="92" s="1"/>
  <c r="G72" i="92" s="1"/>
  <c r="G7" i="92"/>
  <c r="G18" i="92" s="1"/>
  <c r="G29" i="92" s="1"/>
  <c r="G8" i="92"/>
  <c r="G19" i="92" s="1"/>
  <c r="G30" i="92" s="1"/>
  <c r="G41" i="92" s="1"/>
  <c r="G52" i="92" s="1"/>
  <c r="G63" i="92" s="1"/>
  <c r="G74" i="92" s="1"/>
  <c r="G9" i="92"/>
  <c r="G20" i="92" s="1"/>
  <c r="G31" i="92" s="1"/>
  <c r="G42" i="92" s="1"/>
  <c r="G53" i="92" s="1"/>
  <c r="G64" i="92" s="1"/>
  <c r="G75" i="92" s="1"/>
  <c r="C14" i="104" l="1"/>
  <c r="C14" i="103"/>
  <c r="G42" i="102"/>
  <c r="J21" i="96" a="1"/>
  <c r="J21" i="96" s="1"/>
  <c r="J22" i="96" s="1"/>
  <c r="L10" i="94"/>
  <c r="L11" i="94" s="1"/>
  <c r="F11" i="97"/>
  <c r="F22" i="97" s="1"/>
  <c r="F21" i="97"/>
  <c r="E11" i="97"/>
  <c r="E21" i="97"/>
  <c r="T14" i="94"/>
  <c r="T12" i="94"/>
  <c r="T13" i="94"/>
  <c r="U8" i="94"/>
  <c r="S8" i="94"/>
  <c r="V8" i="94"/>
  <c r="M8" i="94"/>
  <c r="K8" i="94"/>
  <c r="N8" i="94"/>
  <c r="O8" i="94"/>
  <c r="R8" i="94"/>
  <c r="Q8" i="94"/>
  <c r="S7" i="94"/>
  <c r="V7" i="94"/>
  <c r="U7" i="94"/>
  <c r="N9" i="94"/>
  <c r="M9" i="94"/>
  <c r="K9" i="94"/>
  <c r="U9" i="94"/>
  <c r="S9" i="94"/>
  <c r="Q7" i="94"/>
  <c r="O7" i="94"/>
  <c r="R7" i="94"/>
  <c r="N7" i="94"/>
  <c r="M7" i="94"/>
  <c r="K7" i="94"/>
  <c r="P13" i="94"/>
  <c r="P14" i="94"/>
  <c r="P12" i="94"/>
  <c r="F11" i="96"/>
  <c r="E11" i="96"/>
  <c r="D11" i="96"/>
  <c r="E22" i="97" l="1"/>
  <c r="B11" i="104"/>
  <c r="B11" i="103"/>
  <c r="B8" i="104"/>
  <c r="B8" i="103"/>
  <c r="G44" i="102"/>
  <c r="G43" i="102"/>
  <c r="B20" i="101"/>
  <c r="B20" i="100"/>
  <c r="L17" i="94"/>
  <c r="B22" i="101"/>
  <c r="B22" i="100"/>
  <c r="B21" i="101"/>
  <c r="B21" i="100"/>
  <c r="B23" i="101"/>
  <c r="B23" i="100"/>
  <c r="H21" i="94" a="1"/>
  <c r="H21" i="94" s="1"/>
  <c r="H22" i="94" s="1"/>
  <c r="H23" i="94" s="1"/>
  <c r="T17" i="94"/>
  <c r="S17" i="94"/>
  <c r="P17" i="94"/>
  <c r="T19" i="94"/>
  <c r="L19" i="94"/>
  <c r="K19" i="94" s="1"/>
  <c r="S19" i="94"/>
  <c r="T18" i="94"/>
  <c r="S18" i="94" s="1"/>
  <c r="L18" i="94"/>
  <c r="K18" i="94"/>
  <c r="T20" i="94"/>
  <c r="L20" i="94"/>
  <c r="S20" i="94"/>
  <c r="D22" i="96"/>
  <c r="E22" i="96"/>
  <c r="F22" i="96"/>
  <c r="K10" i="94" a="1"/>
  <c r="K10" i="94" s="1"/>
  <c r="K11" i="94" s="1"/>
  <c r="O10" i="94" a="1"/>
  <c r="O10" i="94" s="1"/>
  <c r="O11" i="94" s="1"/>
  <c r="S10" i="94" a="1"/>
  <c r="S10" i="94" s="1"/>
  <c r="S11" i="94" s="1"/>
  <c r="L12" i="94"/>
  <c r="L13" i="94"/>
  <c r="L14" i="94"/>
  <c r="D23" i="100" l="1"/>
  <c r="E23" i="100" s="1"/>
  <c r="C21" i="100"/>
  <c r="D21" i="100"/>
  <c r="E21" i="100" s="1"/>
  <c r="C22" i="100"/>
  <c r="D22" i="100"/>
  <c r="E22" i="100" s="1"/>
  <c r="P19" i="94"/>
  <c r="D22" i="101" s="1"/>
  <c r="E22" i="101" s="1"/>
  <c r="D20" i="101"/>
  <c r="E20" i="101" s="1"/>
  <c r="D20" i="100"/>
  <c r="E20" i="100" s="1"/>
  <c r="N17" i="94"/>
  <c r="M17" i="94"/>
  <c r="K17" i="94"/>
  <c r="N20" i="94"/>
  <c r="M20" i="94"/>
  <c r="V20" i="94"/>
  <c r="U20" i="94"/>
  <c r="S21" i="94" a="1"/>
  <c r="S21" i="94" s="1"/>
  <c r="S22" i="94" s="1"/>
  <c r="N19" i="94"/>
  <c r="M19" i="94"/>
  <c r="L21" i="94" a="1"/>
  <c r="L21" i="94" s="1"/>
  <c r="L22" i="94" s="1"/>
  <c r="N18" i="94"/>
  <c r="M18" i="94"/>
  <c r="V18" i="94"/>
  <c r="U18" i="94"/>
  <c r="V19" i="94"/>
  <c r="U19" i="94"/>
  <c r="T21" i="94" a="1"/>
  <c r="T21" i="94" s="1"/>
  <c r="T22" i="94" s="1"/>
  <c r="U17" i="94"/>
  <c r="V17" i="94"/>
  <c r="R17" i="94"/>
  <c r="Q17" i="94"/>
  <c r="K14" i="94"/>
  <c r="P20" i="94"/>
  <c r="D23" i="101" s="1"/>
  <c r="E23" i="101" s="1"/>
  <c r="P18" i="94"/>
  <c r="D21" i="101" s="1"/>
  <c r="E21" i="101" s="1"/>
  <c r="K20" i="94"/>
  <c r="O17" i="94"/>
  <c r="C20" i="101" s="1"/>
  <c r="H25" i="94"/>
  <c r="H24" i="94"/>
  <c r="J23" i="96"/>
  <c r="J24" i="96"/>
  <c r="O14" i="94"/>
  <c r="S14" i="94"/>
  <c r="O19" i="94" l="1"/>
  <c r="C22" i="101" s="1"/>
  <c r="R19" i="94"/>
  <c r="Q19" i="94"/>
  <c r="C23" i="100"/>
  <c r="K21" i="94" a="1"/>
  <c r="K21" i="94" s="1"/>
  <c r="K22" i="94" s="1"/>
  <c r="K25" i="94" s="1"/>
  <c r="C20" i="100"/>
  <c r="T25" i="94"/>
  <c r="T24" i="94"/>
  <c r="T23" i="94"/>
  <c r="L25" i="94"/>
  <c r="L24" i="94"/>
  <c r="L23" i="94"/>
  <c r="R18" i="94"/>
  <c r="Q18" i="94"/>
  <c r="O18" i="94"/>
  <c r="C21" i="101" s="1"/>
  <c r="R20" i="94"/>
  <c r="Q20" i="94"/>
  <c r="O20" i="94"/>
  <c r="P21" i="94" a="1"/>
  <c r="P21" i="94" s="1"/>
  <c r="P22" i="94" s="1"/>
  <c r="S25" i="94"/>
  <c r="G35" i="90"/>
  <c r="G36" i="90"/>
  <c r="G37" i="90"/>
  <c r="G38" i="90"/>
  <c r="H34" i="90"/>
  <c r="G34" i="90"/>
  <c r="O21" i="94" l="1" a="1"/>
  <c r="O21" i="94" s="1"/>
  <c r="O22" i="94" s="1"/>
  <c r="E14" i="104" s="1"/>
  <c r="C23" i="101"/>
  <c r="P25" i="94"/>
  <c r="P24" i="94"/>
  <c r="P23" i="94"/>
  <c r="G9" i="94"/>
  <c r="G20" i="94" s="1"/>
  <c r="I20" i="94" s="1"/>
  <c r="E9" i="94"/>
  <c r="E20" i="94" s="1"/>
  <c r="G8" i="94"/>
  <c r="G19" i="94" s="1"/>
  <c r="E8" i="94"/>
  <c r="E19" i="94" s="1"/>
  <c r="G7" i="94"/>
  <c r="G18" i="94" s="1"/>
  <c r="E7" i="94"/>
  <c r="E18" i="94" s="1"/>
  <c r="G6" i="94"/>
  <c r="G17" i="94" s="1"/>
  <c r="E6" i="94"/>
  <c r="E9" i="92"/>
  <c r="E20" i="92" s="1"/>
  <c r="E31" i="92" s="1"/>
  <c r="E42" i="92" s="1"/>
  <c r="E53" i="92" s="1"/>
  <c r="E64" i="92" s="1"/>
  <c r="E75" i="92" s="1"/>
  <c r="E8" i="92"/>
  <c r="E19" i="92" s="1"/>
  <c r="E30" i="92" s="1"/>
  <c r="E41" i="92" s="1"/>
  <c r="E52" i="92" s="1"/>
  <c r="E63" i="92" s="1"/>
  <c r="E74" i="92" s="1"/>
  <c r="E7" i="92"/>
  <c r="E18" i="92" s="1"/>
  <c r="E29" i="92" s="1"/>
  <c r="E40" i="92" s="1"/>
  <c r="E51" i="92" s="1"/>
  <c r="E62" i="92" s="1"/>
  <c r="E73" i="92" s="1"/>
  <c r="E6" i="92"/>
  <c r="E17" i="92" s="1"/>
  <c r="E28" i="92" s="1"/>
  <c r="E39" i="92" s="1"/>
  <c r="E50" i="92" s="1"/>
  <c r="E61" i="92" s="1"/>
  <c r="E72" i="92" s="1"/>
  <c r="E40" i="90"/>
  <c r="B39" i="90"/>
  <c r="F38" i="90"/>
  <c r="C20" i="92" s="1"/>
  <c r="C31" i="92" s="1"/>
  <c r="C42" i="92" s="1"/>
  <c r="C53" i="92" s="1"/>
  <c r="C64" i="92" s="1"/>
  <c r="C75" i="92" s="1"/>
  <c r="D38" i="90"/>
  <c r="C38" i="90"/>
  <c r="F37" i="90"/>
  <c r="C19" i="92" s="1"/>
  <c r="C30" i="92" s="1"/>
  <c r="C41" i="92" s="1"/>
  <c r="C52" i="92" s="1"/>
  <c r="C63" i="92" s="1"/>
  <c r="C74" i="92" s="1"/>
  <c r="D37" i="90"/>
  <c r="C37" i="90"/>
  <c r="F36" i="90"/>
  <c r="C18" i="92" s="1"/>
  <c r="C29" i="92" s="1"/>
  <c r="C40" i="92" s="1"/>
  <c r="C51" i="92" s="1"/>
  <c r="C62" i="92" s="1"/>
  <c r="C73" i="92" s="1"/>
  <c r="D36" i="90"/>
  <c r="C36" i="90"/>
  <c r="F35" i="90"/>
  <c r="D35" i="90"/>
  <c r="C35" i="90"/>
  <c r="AB26" i="90"/>
  <c r="AC26" i="90" s="1"/>
  <c r="AD26" i="90" s="1"/>
  <c r="W26" i="90"/>
  <c r="V26" i="90"/>
  <c r="K10" i="90"/>
  <c r="J10" i="90"/>
  <c r="I10" i="90"/>
  <c r="K7" i="90"/>
  <c r="J7" i="90"/>
  <c r="I7" i="90"/>
  <c r="I42" i="89"/>
  <c r="H41" i="89"/>
  <c r="F39" i="90" s="1"/>
  <c r="P17" i="89"/>
  <c r="M11" i="89"/>
  <c r="L11" i="89"/>
  <c r="K11" i="89"/>
  <c r="M8" i="89"/>
  <c r="L8" i="89"/>
  <c r="K8" i="89"/>
  <c r="O25" i="94" l="1"/>
  <c r="G14" i="104"/>
  <c r="I17" i="94"/>
  <c r="E10" i="94"/>
  <c r="E17" i="94"/>
  <c r="I18" i="94"/>
  <c r="I19" i="94"/>
  <c r="K44" i="89"/>
  <c r="M43" i="89"/>
  <c r="L43" i="89"/>
  <c r="K43" i="89"/>
  <c r="M44" i="89"/>
  <c r="L44" i="89"/>
  <c r="J43" i="89"/>
  <c r="E42" i="89"/>
  <c r="Z26" i="90"/>
  <c r="AA26" i="90" s="1"/>
  <c r="E10" i="92"/>
  <c r="D40" i="90"/>
  <c r="C40" i="90"/>
  <c r="E42" i="90" s="1"/>
  <c r="G40" i="90"/>
  <c r="F42" i="89"/>
  <c r="G42" i="89"/>
  <c r="C41" i="89"/>
  <c r="D42" i="89"/>
  <c r="I21" i="94" l="1" a="1"/>
  <c r="I21" i="94" s="1"/>
  <c r="I22" i="94" s="1"/>
  <c r="E14" i="103" s="1"/>
  <c r="E11" i="94"/>
  <c r="E21" i="94"/>
  <c r="J21" i="94" a="1"/>
  <c r="J21" i="94" s="1"/>
  <c r="J22" i="94" s="1"/>
  <c r="E44" i="89"/>
  <c r="H18" i="92"/>
  <c r="H20" i="92"/>
  <c r="H17" i="92"/>
  <c r="H19" i="92"/>
  <c r="C17" i="92"/>
  <c r="C28" i="92" s="1"/>
  <c r="C39" i="92" s="1"/>
  <c r="C50" i="92" s="1"/>
  <c r="F10" i="92"/>
  <c r="F21" i="92" s="1"/>
  <c r="F32" i="92" s="1"/>
  <c r="F43" i="92" s="1"/>
  <c r="F54" i="92" s="1"/>
  <c r="F65" i="92" s="1"/>
  <c r="F76" i="92" s="1"/>
  <c r="C10" i="92"/>
  <c r="D10" i="92"/>
  <c r="D11" i="92" s="1"/>
  <c r="D22" i="92" s="1"/>
  <c r="D33" i="92" s="1"/>
  <c r="D44" i="92" s="1"/>
  <c r="D55" i="92" s="1"/>
  <c r="D66" i="92" s="1"/>
  <c r="D77" i="92" s="1"/>
  <c r="E41" i="90"/>
  <c r="D41" i="90"/>
  <c r="D42" i="90"/>
  <c r="E11" i="92"/>
  <c r="E21" i="92"/>
  <c r="E32" i="92" s="1"/>
  <c r="E43" i="92" s="1"/>
  <c r="E54" i="92" s="1"/>
  <c r="E65" i="92" s="1"/>
  <c r="E76" i="92" s="1"/>
  <c r="E43" i="89"/>
  <c r="F43" i="89"/>
  <c r="F44" i="89"/>
  <c r="G43" i="89"/>
  <c r="G44" i="89"/>
  <c r="B14" i="104" l="1"/>
  <c r="B14" i="103"/>
  <c r="D14" i="103" s="1"/>
  <c r="B7" i="101"/>
  <c r="B7" i="100"/>
  <c r="B5" i="101"/>
  <c r="B5" i="100"/>
  <c r="B8" i="101"/>
  <c r="B8" i="100"/>
  <c r="B6" i="101"/>
  <c r="B6" i="100"/>
  <c r="B5" i="104"/>
  <c r="B17" i="104" s="1"/>
  <c r="B5" i="103"/>
  <c r="B17" i="103" s="1"/>
  <c r="G14" i="103"/>
  <c r="F14" i="103"/>
  <c r="E22" i="94"/>
  <c r="I12" i="94"/>
  <c r="I13" i="94"/>
  <c r="K13" i="94"/>
  <c r="S12" i="94"/>
  <c r="S13" i="94"/>
  <c r="O12" i="94"/>
  <c r="K12" i="94"/>
  <c r="O13" i="94"/>
  <c r="J23" i="94"/>
  <c r="J25" i="94"/>
  <c r="J24" i="94"/>
  <c r="I24" i="94"/>
  <c r="I23" i="94"/>
  <c r="I25" i="94"/>
  <c r="L17" i="92"/>
  <c r="K17" i="92"/>
  <c r="L20" i="92"/>
  <c r="L19" i="92"/>
  <c r="L18" i="92"/>
  <c r="C43" i="92"/>
  <c r="C32" i="92"/>
  <c r="F11" i="92"/>
  <c r="C21" i="92"/>
  <c r="D21" i="92"/>
  <c r="D32" i="92" s="1"/>
  <c r="D43" i="92" s="1"/>
  <c r="D54" i="92" s="1"/>
  <c r="D65" i="92" s="1"/>
  <c r="D76" i="92" s="1"/>
  <c r="E22" i="92"/>
  <c r="E33" i="92" s="1"/>
  <c r="E44" i="92" s="1"/>
  <c r="E55" i="92" s="1"/>
  <c r="E66" i="92" s="1"/>
  <c r="E77" i="92" s="1"/>
  <c r="F22" i="92"/>
  <c r="F33" i="92" s="1"/>
  <c r="F44" i="92" s="1"/>
  <c r="F55" i="92" s="1"/>
  <c r="F66" i="92" s="1"/>
  <c r="F77" i="92" s="1"/>
  <c r="C54" i="92"/>
  <c r="C61" i="92"/>
  <c r="D14" i="104" l="1"/>
  <c r="F14" i="104"/>
  <c r="D6" i="101"/>
  <c r="E6" i="101" s="1"/>
  <c r="D6" i="100"/>
  <c r="E6" i="100" s="1"/>
  <c r="D7" i="101"/>
  <c r="E7" i="101" s="1"/>
  <c r="D7" i="100"/>
  <c r="E7" i="100" s="1"/>
  <c r="D8" i="101"/>
  <c r="E8" i="101" s="1"/>
  <c r="D8" i="100"/>
  <c r="E8" i="100" s="1"/>
  <c r="C5" i="101"/>
  <c r="C5" i="100"/>
  <c r="D5" i="101"/>
  <c r="E5" i="101" s="1"/>
  <c r="D5" i="100"/>
  <c r="E5" i="100" s="1"/>
  <c r="K23" i="94"/>
  <c r="S24" i="94"/>
  <c r="S23" i="94"/>
  <c r="K24" i="94"/>
  <c r="O24" i="94"/>
  <c r="O23" i="94"/>
  <c r="C72" i="92"/>
  <c r="C76" i="92" s="1"/>
  <c r="C65" i="92"/>
  <c r="I23" i="84" l="1"/>
  <c r="E5" i="88"/>
  <c r="C5" i="88" l="1"/>
  <c r="C4" i="88"/>
  <c r="F23" i="58" l="1"/>
  <c r="H23" i="58" s="1"/>
  <c r="J23" i="58" s="1"/>
  <c r="K23" i="58" s="1"/>
  <c r="F22" i="58"/>
  <c r="H22" i="58" s="1"/>
  <c r="J22" i="58" s="1"/>
  <c r="K22" i="58" s="1"/>
  <c r="F21" i="58"/>
  <c r="F20" i="58"/>
  <c r="I33" i="58"/>
  <c r="F19" i="58"/>
  <c r="D33" i="58"/>
  <c r="C33" i="58"/>
  <c r="B33" i="58"/>
  <c r="F18" i="58"/>
  <c r="H18" i="58" s="1"/>
  <c r="F16" i="58"/>
  <c r="H16" i="58" s="1"/>
  <c r="F14" i="58"/>
  <c r="H14" i="58" s="1"/>
  <c r="F13" i="58"/>
  <c r="H13" i="58" s="1"/>
  <c r="F12" i="58"/>
  <c r="H12" i="58" s="1"/>
  <c r="F11" i="58"/>
  <c r="F10" i="58"/>
  <c r="F9" i="58"/>
  <c r="B38" i="58" l="1"/>
  <c r="E33" i="58"/>
  <c r="I42" i="58"/>
  <c r="J12" i="58"/>
  <c r="K12" i="58" s="1"/>
  <c r="J13" i="58"/>
  <c r="K13" i="58" s="1"/>
  <c r="J14" i="58"/>
  <c r="K14" i="58" s="1"/>
  <c r="J16" i="58"/>
  <c r="K16" i="58" s="1"/>
  <c r="J18" i="58"/>
  <c r="K18" i="58" s="1"/>
  <c r="L38" i="58"/>
  <c r="F15" i="58"/>
  <c r="H15" i="58" s="1"/>
  <c r="J15" i="58" s="1"/>
  <c r="K15" i="58" s="1"/>
  <c r="B44" i="58"/>
  <c r="F17" i="58"/>
  <c r="H17" i="58" s="1"/>
  <c r="J17" i="58" s="1"/>
  <c r="K17" i="58" s="1"/>
  <c r="C44" i="58"/>
  <c r="B42" i="58"/>
  <c r="L44" i="58"/>
  <c r="D38" i="58"/>
  <c r="D44" i="58"/>
  <c r="C42" i="58"/>
  <c r="H20" i="58"/>
  <c r="J20" i="58" s="1"/>
  <c r="K20" i="58" s="1"/>
  <c r="H21" i="58"/>
  <c r="J21" i="58" s="1"/>
  <c r="K21" i="58" s="1"/>
  <c r="E38" i="58"/>
  <c r="E43" i="58"/>
  <c r="G33" i="58"/>
  <c r="C38" i="58"/>
  <c r="F8" i="58"/>
  <c r="H9" i="58"/>
  <c r="J9" i="58" s="1"/>
  <c r="K9" i="58" s="1"/>
  <c r="L33" i="58"/>
  <c r="I43" i="58"/>
  <c r="I38" i="58"/>
  <c r="G43" i="58"/>
  <c r="H10" i="58"/>
  <c r="J10" i="58" s="1"/>
  <c r="K10" i="58" s="1"/>
  <c r="H11" i="58"/>
  <c r="J11" i="58" s="1"/>
  <c r="K11" i="58" s="1"/>
  <c r="E44" i="58"/>
  <c r="F33" i="58"/>
  <c r="H19" i="58"/>
  <c r="G38" i="58"/>
  <c r="D42" i="58"/>
  <c r="E42" i="58"/>
  <c r="B43" i="58"/>
  <c r="G44" i="58"/>
  <c r="F7" i="58"/>
  <c r="C43" i="58"/>
  <c r="L42" i="58"/>
  <c r="G42" i="58"/>
  <c r="D43" i="58"/>
  <c r="L43" i="58"/>
  <c r="I44" i="58"/>
  <c r="F44" i="58" l="1"/>
  <c r="F42" i="58"/>
  <c r="H8" i="58"/>
  <c r="H43" i="58" s="1"/>
  <c r="F43" i="58"/>
  <c r="J19" i="58"/>
  <c r="H33" i="58"/>
  <c r="H42" i="58"/>
  <c r="H44" i="58"/>
  <c r="H7" i="58"/>
  <c r="F38" i="58"/>
  <c r="J8" i="58" l="1"/>
  <c r="J7" i="58"/>
  <c r="H38" i="58"/>
  <c r="J42" i="58"/>
  <c r="K42" i="58" s="1"/>
  <c r="J44" i="58"/>
  <c r="K44" i="58" s="1"/>
  <c r="K8" i="58"/>
  <c r="J43" i="58"/>
  <c r="K43" i="58" s="1"/>
  <c r="K19" i="58"/>
  <c r="J33" i="58"/>
  <c r="K33" i="58" l="1"/>
  <c r="K7" i="58"/>
  <c r="J38" i="58"/>
  <c r="K38" i="58" s="1"/>
  <c r="C7" i="80" l="1"/>
  <c r="E7" i="80" s="1"/>
  <c r="D7" i="80"/>
  <c r="F7" i="80"/>
  <c r="G7" i="80"/>
  <c r="C8" i="80"/>
  <c r="D8" i="80"/>
  <c r="F8" i="80" s="1"/>
  <c r="G8" i="80" s="1"/>
  <c r="E8" i="80"/>
  <c r="C9" i="80"/>
  <c r="D9" i="80"/>
  <c r="E9" i="80"/>
  <c r="F9" i="80"/>
  <c r="G9" i="80" s="1"/>
  <c r="E38" i="85"/>
  <c r="C38" i="85"/>
  <c r="F23" i="85"/>
  <c r="E22" i="85"/>
  <c r="F18" i="85"/>
  <c r="G18" i="85" s="1"/>
  <c r="H18" i="85" s="1"/>
  <c r="E18" i="85"/>
  <c r="D18" i="85"/>
  <c r="C18" i="85"/>
  <c r="G17" i="85"/>
  <c r="H17" i="85" s="1"/>
  <c r="F17" i="85"/>
  <c r="E17" i="85"/>
  <c r="D17" i="85"/>
  <c r="C17" i="85"/>
  <c r="F16" i="85"/>
  <c r="G16" i="85" s="1"/>
  <c r="H16" i="85" s="1"/>
  <c r="E16" i="85"/>
  <c r="D16" i="85"/>
  <c r="C16" i="85"/>
  <c r="G15" i="85"/>
  <c r="H15" i="85" s="1"/>
  <c r="F15" i="85"/>
  <c r="E15" i="85"/>
  <c r="D15" i="85"/>
  <c r="C15" i="85"/>
  <c r="F14" i="85"/>
  <c r="G14" i="85" s="1"/>
  <c r="H14" i="85" s="1"/>
  <c r="E14" i="85"/>
  <c r="D14" i="85"/>
  <c r="C14" i="85"/>
  <c r="G13" i="85"/>
  <c r="H13" i="85" s="1"/>
  <c r="F13" i="85"/>
  <c r="E13" i="85"/>
  <c r="D13" i="85"/>
  <c r="C13" i="85"/>
  <c r="F12" i="85"/>
  <c r="G12" i="85" s="1"/>
  <c r="H12" i="85" s="1"/>
  <c r="E12" i="85"/>
  <c r="D12" i="85"/>
  <c r="C12" i="85"/>
  <c r="G11" i="85"/>
  <c r="H11" i="85" s="1"/>
  <c r="F11" i="85"/>
  <c r="E11" i="85"/>
  <c r="D11" i="85"/>
  <c r="C11" i="85"/>
  <c r="F10" i="85"/>
  <c r="G10" i="85" s="1"/>
  <c r="H10" i="85" s="1"/>
  <c r="E10" i="85"/>
  <c r="D10" i="85"/>
  <c r="C10" i="85"/>
  <c r="G9" i="85"/>
  <c r="H9" i="85" s="1"/>
  <c r="F9" i="85"/>
  <c r="E9" i="85"/>
  <c r="D9" i="85"/>
  <c r="C9" i="85"/>
  <c r="F8" i="85"/>
  <c r="E8" i="85"/>
  <c r="D8" i="85"/>
  <c r="C8" i="85"/>
  <c r="N7" i="85"/>
  <c r="N8" i="85" s="1"/>
  <c r="N9" i="85" s="1"/>
  <c r="N10" i="85" s="1"/>
  <c r="N11" i="85" s="1"/>
  <c r="N12" i="85" s="1"/>
  <c r="N13" i="85" s="1"/>
  <c r="N14" i="85" s="1"/>
  <c r="N15" i="85" s="1"/>
  <c r="N16" i="85" s="1"/>
  <c r="N17" i="85" s="1"/>
  <c r="N18" i="85" s="1"/>
  <c r="M7" i="85"/>
  <c r="M8" i="85" s="1"/>
  <c r="M9" i="85" s="1"/>
  <c r="M10" i="85" s="1"/>
  <c r="M11" i="85" s="1"/>
  <c r="M12" i="85" s="1"/>
  <c r="M13" i="85" s="1"/>
  <c r="M14" i="85" s="1"/>
  <c r="M15" i="85" s="1"/>
  <c r="M16" i="85" s="1"/>
  <c r="M17" i="85" s="1"/>
  <c r="M18" i="85" s="1"/>
  <c r="L7" i="85"/>
  <c r="L8" i="85" s="1"/>
  <c r="L9" i="85" s="1"/>
  <c r="L10" i="85" s="1"/>
  <c r="L11" i="85" s="1"/>
  <c r="L12" i="85" s="1"/>
  <c r="L13" i="85" s="1"/>
  <c r="L14" i="85" s="1"/>
  <c r="L15" i="85" s="1"/>
  <c r="L16" i="85" s="1"/>
  <c r="L17" i="85" s="1"/>
  <c r="L18" i="85" s="1"/>
  <c r="G7" i="85"/>
  <c r="H7" i="85" s="1"/>
  <c r="F7" i="85"/>
  <c r="F38" i="85" s="1"/>
  <c r="E7" i="85"/>
  <c r="D7" i="85"/>
  <c r="D38" i="85" s="1"/>
  <c r="C7" i="85"/>
  <c r="K17" i="85" s="1"/>
  <c r="E44" i="84"/>
  <c r="E43" i="84"/>
  <c r="E42" i="84"/>
  <c r="G38" i="84"/>
  <c r="H38" i="84" s="1"/>
  <c r="F38" i="84"/>
  <c r="E38" i="84"/>
  <c r="D38" i="84"/>
  <c r="C38" i="84"/>
  <c r="E33" i="84"/>
  <c r="P32" i="84"/>
  <c r="O32" i="84"/>
  <c r="Q32" i="84" s="1"/>
  <c r="J32" i="84"/>
  <c r="P31" i="84"/>
  <c r="O31" i="84"/>
  <c r="Q31" i="84" s="1"/>
  <c r="J31" i="84"/>
  <c r="P30" i="84"/>
  <c r="O30" i="84"/>
  <c r="Q30" i="84" s="1"/>
  <c r="P29" i="84"/>
  <c r="O29" i="84"/>
  <c r="Q29" i="84" s="1"/>
  <c r="Q28" i="84"/>
  <c r="P28" i="84"/>
  <c r="O28" i="84"/>
  <c r="J28" i="84"/>
  <c r="J30" i="84"/>
  <c r="Q27" i="84"/>
  <c r="P27" i="84"/>
  <c r="O27" i="84"/>
  <c r="J29" i="84"/>
  <c r="P26" i="84"/>
  <c r="O26" i="84"/>
  <c r="Q26" i="84" s="1"/>
  <c r="J26" i="84"/>
  <c r="Q25" i="84"/>
  <c r="P25" i="84"/>
  <c r="O25" i="84"/>
  <c r="J27" i="84"/>
  <c r="Q24" i="84"/>
  <c r="F22" i="84" s="1"/>
  <c r="P24" i="84"/>
  <c r="D22" i="84" s="1"/>
  <c r="D22" i="85" s="1"/>
  <c r="O24" i="84"/>
  <c r="P23" i="84"/>
  <c r="O23" i="84"/>
  <c r="Q23" i="84" s="1"/>
  <c r="F21" i="84" s="1"/>
  <c r="J23" i="84"/>
  <c r="F23" i="84"/>
  <c r="G23" i="84" s="1"/>
  <c r="H23" i="84" s="1"/>
  <c r="D23" i="84"/>
  <c r="D23" i="85" s="1"/>
  <c r="C23" i="84"/>
  <c r="E23" i="85" s="1"/>
  <c r="G23" i="85" s="1"/>
  <c r="H23" i="85" s="1"/>
  <c r="J25" i="84"/>
  <c r="P22" i="84"/>
  <c r="D20" i="84" s="1"/>
  <c r="O22" i="84"/>
  <c r="Q22" i="84" s="1"/>
  <c r="F20" i="84" s="1"/>
  <c r="C22" i="84"/>
  <c r="C22" i="85" s="1"/>
  <c r="J24" i="84"/>
  <c r="Q21" i="84"/>
  <c r="F19" i="84" s="1"/>
  <c r="P21" i="84"/>
  <c r="O21" i="84"/>
  <c r="C19" i="84" s="1"/>
  <c r="J21" i="84"/>
  <c r="D21" i="84"/>
  <c r="C21" i="84"/>
  <c r="C21" i="85" s="1"/>
  <c r="J22" i="84"/>
  <c r="D19" i="84"/>
  <c r="K18" i="84"/>
  <c r="H18" i="84"/>
  <c r="G18" i="84"/>
  <c r="K17" i="84"/>
  <c r="H17" i="84"/>
  <c r="G17" i="84"/>
  <c r="K16" i="84"/>
  <c r="H16" i="84"/>
  <c r="G16" i="84"/>
  <c r="K15" i="84"/>
  <c r="H15" i="84"/>
  <c r="G15" i="84"/>
  <c r="K14" i="84"/>
  <c r="H14" i="84"/>
  <c r="G14" i="84"/>
  <c r="K13" i="84"/>
  <c r="H13" i="84"/>
  <c r="G13" i="84"/>
  <c r="K12" i="84"/>
  <c r="H12" i="84"/>
  <c r="G12" i="84"/>
  <c r="K11" i="84"/>
  <c r="H11" i="84"/>
  <c r="G11" i="84"/>
  <c r="K10" i="84"/>
  <c r="H10" i="84"/>
  <c r="G10" i="84"/>
  <c r="K9" i="84"/>
  <c r="H9" i="84"/>
  <c r="G9" i="84"/>
  <c r="K8" i="84"/>
  <c r="H8" i="84"/>
  <c r="G8" i="84"/>
  <c r="O7" i="84"/>
  <c r="O8" i="84" s="1"/>
  <c r="O9" i="84" s="1"/>
  <c r="O10" i="84" s="1"/>
  <c r="O11" i="84" s="1"/>
  <c r="O12" i="84" s="1"/>
  <c r="O13" i="84" s="1"/>
  <c r="O14" i="84" s="1"/>
  <c r="O15" i="84" s="1"/>
  <c r="O16" i="84" s="1"/>
  <c r="O17" i="84" s="1"/>
  <c r="O18" i="84" s="1"/>
  <c r="N7" i="84"/>
  <c r="N8" i="84" s="1"/>
  <c r="N9" i="84" s="1"/>
  <c r="N10" i="84" s="1"/>
  <c r="N11" i="84" s="1"/>
  <c r="N12" i="84" s="1"/>
  <c r="N13" i="84" s="1"/>
  <c r="N14" i="84" s="1"/>
  <c r="N15" i="84" s="1"/>
  <c r="N16" i="84" s="1"/>
  <c r="N17" i="84" s="1"/>
  <c r="N18" i="84" s="1"/>
  <c r="M7" i="84"/>
  <c r="M8" i="84" s="1"/>
  <c r="M9" i="84" s="1"/>
  <c r="M10" i="84" s="1"/>
  <c r="M11" i="84" s="1"/>
  <c r="M12" i="84" s="1"/>
  <c r="M13" i="84" s="1"/>
  <c r="M14" i="84" s="1"/>
  <c r="M15" i="84" s="1"/>
  <c r="M16" i="84" s="1"/>
  <c r="M17" i="84" s="1"/>
  <c r="M18" i="84" s="1"/>
  <c r="L7" i="84"/>
  <c r="L8" i="84" s="1"/>
  <c r="L9" i="84" s="1"/>
  <c r="L10" i="84" s="1"/>
  <c r="L11" i="84" s="1"/>
  <c r="L12" i="84" s="1"/>
  <c r="L13" i="84" s="1"/>
  <c r="L14" i="84" s="1"/>
  <c r="L15" i="84" s="1"/>
  <c r="L16" i="84" s="1"/>
  <c r="L17" i="84" s="1"/>
  <c r="L18" i="84" s="1"/>
  <c r="K7" i="84"/>
  <c r="H7" i="84"/>
  <c r="G7" i="84"/>
  <c r="O6" i="84"/>
  <c r="N6" i="84"/>
  <c r="M6" i="84"/>
  <c r="L6" i="84"/>
  <c r="K6" i="84"/>
  <c r="F43" i="61"/>
  <c r="C38" i="61"/>
  <c r="G23" i="61"/>
  <c r="H23" i="61" s="1"/>
  <c r="G22" i="61"/>
  <c r="H22" i="61" s="1"/>
  <c r="D42" i="61"/>
  <c r="G21" i="61"/>
  <c r="H21" i="61" s="1"/>
  <c r="D43" i="61"/>
  <c r="G20" i="61"/>
  <c r="H20" i="61" s="1"/>
  <c r="C33" i="61"/>
  <c r="F33" i="61"/>
  <c r="E33" i="61"/>
  <c r="D33" i="61"/>
  <c r="K18" i="61"/>
  <c r="G18" i="61"/>
  <c r="H18" i="61" s="1"/>
  <c r="K17" i="61"/>
  <c r="G17" i="61"/>
  <c r="H17" i="61" s="1"/>
  <c r="K16" i="61"/>
  <c r="G16" i="61"/>
  <c r="H16" i="61" s="1"/>
  <c r="K15" i="61"/>
  <c r="G15" i="61"/>
  <c r="H15" i="61" s="1"/>
  <c r="K14" i="61"/>
  <c r="G14" i="61"/>
  <c r="H14" i="61" s="1"/>
  <c r="K13" i="61"/>
  <c r="G13" i="61"/>
  <c r="H13" i="61" s="1"/>
  <c r="K12" i="61"/>
  <c r="G12" i="61"/>
  <c r="H12" i="61" s="1"/>
  <c r="K11" i="61"/>
  <c r="G11" i="61"/>
  <c r="H11" i="61" s="1"/>
  <c r="K10" i="61"/>
  <c r="G10" i="61"/>
  <c r="H10" i="61" s="1"/>
  <c r="K9" i="61"/>
  <c r="G9" i="61"/>
  <c r="H9" i="61" s="1"/>
  <c r="K8" i="61"/>
  <c r="F38" i="61"/>
  <c r="E43" i="61"/>
  <c r="C42" i="61"/>
  <c r="L7" i="61"/>
  <c r="L8" i="61" s="1"/>
  <c r="L9" i="61" s="1"/>
  <c r="L10" i="61" s="1"/>
  <c r="L11" i="61" s="1"/>
  <c r="L12" i="61" s="1"/>
  <c r="L13" i="61" s="1"/>
  <c r="L14" i="61" s="1"/>
  <c r="L15" i="61" s="1"/>
  <c r="L16" i="61" s="1"/>
  <c r="L17" i="61" s="1"/>
  <c r="L18" i="61" s="1"/>
  <c r="K7" i="61"/>
  <c r="N7" i="61"/>
  <c r="N8" i="61" s="1"/>
  <c r="N9" i="61" s="1"/>
  <c r="N10" i="61" s="1"/>
  <c r="N11" i="61" s="1"/>
  <c r="N12" i="61" s="1"/>
  <c r="N13" i="61" s="1"/>
  <c r="N14" i="61" s="1"/>
  <c r="N15" i="61" s="1"/>
  <c r="N16" i="61" s="1"/>
  <c r="N17" i="61" s="1"/>
  <c r="N18" i="61" s="1"/>
  <c r="G7" i="61"/>
  <c r="D38" i="61"/>
  <c r="K2" i="61"/>
  <c r="P96" i="60"/>
  <c r="O96" i="60"/>
  <c r="P95" i="60"/>
  <c r="O95" i="60"/>
  <c r="P94" i="60"/>
  <c r="O94" i="60"/>
  <c r="Q58" i="60" s="1"/>
  <c r="P93" i="60"/>
  <c r="O93" i="60"/>
  <c r="P92" i="60"/>
  <c r="O92" i="60"/>
  <c r="P91" i="60"/>
  <c r="O91" i="60"/>
  <c r="P90" i="60"/>
  <c r="O90" i="60"/>
  <c r="P89" i="60"/>
  <c r="O89" i="60"/>
  <c r="P88" i="60"/>
  <c r="O88" i="60"/>
  <c r="P87" i="60"/>
  <c r="O87" i="60"/>
  <c r="P86" i="60"/>
  <c r="O86" i="60"/>
  <c r="Q50" i="60" s="1"/>
  <c r="C20" i="60" s="1"/>
  <c r="F20" i="60" s="1"/>
  <c r="P85" i="60"/>
  <c r="O85" i="60"/>
  <c r="J85" i="60"/>
  <c r="N83" i="60"/>
  <c r="N79" i="60"/>
  <c r="M79" i="60"/>
  <c r="L79" i="60"/>
  <c r="K79" i="60"/>
  <c r="P77" i="60" s="1"/>
  <c r="P78" i="60"/>
  <c r="O78" i="60"/>
  <c r="O77" i="60"/>
  <c r="O76" i="60"/>
  <c r="O75" i="60"/>
  <c r="P74" i="60"/>
  <c r="O74" i="60"/>
  <c r="O73" i="60"/>
  <c r="O72" i="60"/>
  <c r="O71" i="60"/>
  <c r="Q53" i="60" s="1"/>
  <c r="C23" i="60" s="1"/>
  <c r="F23" i="60" s="1"/>
  <c r="P70" i="60"/>
  <c r="O70" i="60"/>
  <c r="O69" i="60"/>
  <c r="O68" i="60"/>
  <c r="O67" i="60"/>
  <c r="J67" i="60"/>
  <c r="N65" i="60"/>
  <c r="N61" i="60"/>
  <c r="M61" i="60"/>
  <c r="L61" i="60"/>
  <c r="P59" i="60" s="1"/>
  <c r="K61" i="60"/>
  <c r="P60" i="60"/>
  <c r="O60" i="60"/>
  <c r="Q60" i="60" s="1"/>
  <c r="Q59" i="60"/>
  <c r="O59" i="60"/>
  <c r="O58" i="60"/>
  <c r="P57" i="60"/>
  <c r="O57" i="60"/>
  <c r="Q57" i="60" s="1"/>
  <c r="O56" i="60"/>
  <c r="Q56" i="60" s="1"/>
  <c r="O55" i="60"/>
  <c r="Q55" i="60" s="1"/>
  <c r="Q54" i="60"/>
  <c r="P54" i="60"/>
  <c r="O54" i="60"/>
  <c r="P53" i="60"/>
  <c r="O53" i="60"/>
  <c r="P52" i="60"/>
  <c r="D22" i="60" s="1"/>
  <c r="O52" i="60"/>
  <c r="Q52" i="60" s="1"/>
  <c r="C22" i="60" s="1"/>
  <c r="Q51" i="60"/>
  <c r="C21" i="60" s="1"/>
  <c r="F21" i="60" s="1"/>
  <c r="O51" i="60"/>
  <c r="O50" i="60"/>
  <c r="P49" i="60"/>
  <c r="O49" i="60"/>
  <c r="Q49" i="60" s="1"/>
  <c r="C19" i="60" s="1"/>
  <c r="K18" i="60"/>
  <c r="K17" i="60"/>
  <c r="K16" i="60"/>
  <c r="K15" i="60"/>
  <c r="K14" i="60"/>
  <c r="K13" i="60"/>
  <c r="K12" i="60"/>
  <c r="K11" i="60"/>
  <c r="K10" i="60"/>
  <c r="K9" i="60"/>
  <c r="L8" i="60"/>
  <c r="L9" i="60" s="1"/>
  <c r="L10" i="60" s="1"/>
  <c r="L11" i="60" s="1"/>
  <c r="L12" i="60" s="1"/>
  <c r="L13" i="60" s="1"/>
  <c r="L14" i="60" s="1"/>
  <c r="L15" i="60" s="1"/>
  <c r="L16" i="60" s="1"/>
  <c r="L17" i="60" s="1"/>
  <c r="L18" i="60" s="1"/>
  <c r="K8" i="60"/>
  <c r="O7" i="60"/>
  <c r="O8" i="60" s="1"/>
  <c r="O9" i="60" s="1"/>
  <c r="O10" i="60" s="1"/>
  <c r="O11" i="60" s="1"/>
  <c r="O12" i="60" s="1"/>
  <c r="O13" i="60" s="1"/>
  <c r="O14" i="60" s="1"/>
  <c r="O15" i="60" s="1"/>
  <c r="O16" i="60" s="1"/>
  <c r="O17" i="60" s="1"/>
  <c r="O18" i="60" s="1"/>
  <c r="N7" i="60"/>
  <c r="N8" i="60" s="1"/>
  <c r="N9" i="60" s="1"/>
  <c r="N10" i="60" s="1"/>
  <c r="N11" i="60" s="1"/>
  <c r="N12" i="60" s="1"/>
  <c r="N13" i="60" s="1"/>
  <c r="N14" i="60" s="1"/>
  <c r="N15" i="60" s="1"/>
  <c r="N16" i="60" s="1"/>
  <c r="N17" i="60" s="1"/>
  <c r="N18" i="60" s="1"/>
  <c r="M7" i="60"/>
  <c r="M8" i="60" s="1"/>
  <c r="M9" i="60" s="1"/>
  <c r="M10" i="60" s="1"/>
  <c r="M11" i="60" s="1"/>
  <c r="M12" i="60" s="1"/>
  <c r="M13" i="60" s="1"/>
  <c r="M14" i="60" s="1"/>
  <c r="M15" i="60" s="1"/>
  <c r="M16" i="60" s="1"/>
  <c r="M17" i="60" s="1"/>
  <c r="M18" i="60" s="1"/>
  <c r="L7" i="60"/>
  <c r="K7" i="60"/>
  <c r="O6" i="60"/>
  <c r="N6" i="60"/>
  <c r="M6" i="60"/>
  <c r="L6" i="60"/>
  <c r="K6" i="60"/>
  <c r="G96" i="60"/>
  <c r="F96" i="60"/>
  <c r="G95" i="60"/>
  <c r="F95" i="60"/>
  <c r="G94" i="60"/>
  <c r="F94" i="60"/>
  <c r="G93" i="60"/>
  <c r="F93" i="60"/>
  <c r="G92" i="60"/>
  <c r="F92" i="60"/>
  <c r="G91" i="60"/>
  <c r="F91" i="60"/>
  <c r="G90" i="60"/>
  <c r="F90" i="60"/>
  <c r="G89" i="60"/>
  <c r="F89" i="60"/>
  <c r="G88" i="60"/>
  <c r="F88" i="60"/>
  <c r="G87" i="60"/>
  <c r="F87" i="60"/>
  <c r="G86" i="60"/>
  <c r="F86" i="60"/>
  <c r="G85" i="60"/>
  <c r="F85" i="60"/>
  <c r="E83" i="60"/>
  <c r="E79" i="60"/>
  <c r="D79" i="60"/>
  <c r="G76" i="60" s="1"/>
  <c r="C79" i="60"/>
  <c r="B79" i="60"/>
  <c r="G78" i="60"/>
  <c r="F78" i="60"/>
  <c r="H60" i="60" s="1"/>
  <c r="G77" i="60"/>
  <c r="F77" i="60"/>
  <c r="F76" i="60"/>
  <c r="F75" i="60"/>
  <c r="G74" i="60"/>
  <c r="F74" i="60"/>
  <c r="G73" i="60"/>
  <c r="F73" i="60"/>
  <c r="F72" i="60"/>
  <c r="F71" i="60"/>
  <c r="G70" i="60"/>
  <c r="F70" i="60"/>
  <c r="H52" i="60" s="1"/>
  <c r="G69" i="60"/>
  <c r="F69" i="60"/>
  <c r="F68" i="60"/>
  <c r="F67" i="60"/>
  <c r="E65" i="60"/>
  <c r="E61" i="60"/>
  <c r="D61" i="60"/>
  <c r="G53" i="60" s="1"/>
  <c r="C61" i="60"/>
  <c r="G58" i="60" s="1"/>
  <c r="B61" i="60"/>
  <c r="G57" i="60" s="1"/>
  <c r="F60" i="60"/>
  <c r="F59" i="60"/>
  <c r="H59" i="60" s="1"/>
  <c r="F58" i="60"/>
  <c r="H58" i="60" s="1"/>
  <c r="F57" i="60"/>
  <c r="H57" i="60" s="1"/>
  <c r="H56" i="60"/>
  <c r="G56" i="60"/>
  <c r="F56" i="60"/>
  <c r="F55" i="60"/>
  <c r="H55" i="60" s="1"/>
  <c r="F54" i="60"/>
  <c r="H54" i="60" s="1"/>
  <c r="H53" i="60"/>
  <c r="F53" i="60"/>
  <c r="F52" i="60"/>
  <c r="F51" i="60"/>
  <c r="H51" i="60" s="1"/>
  <c r="F50" i="60"/>
  <c r="H50" i="60" s="1"/>
  <c r="F49" i="60"/>
  <c r="E43" i="60"/>
  <c r="F38" i="60"/>
  <c r="E38" i="60"/>
  <c r="D38" i="60"/>
  <c r="C38" i="60"/>
  <c r="E33" i="60"/>
  <c r="E23" i="60"/>
  <c r="E22" i="60"/>
  <c r="E21" i="60"/>
  <c r="E20" i="60"/>
  <c r="E44" i="60" s="1"/>
  <c r="G18" i="60"/>
  <c r="H18" i="60" s="1"/>
  <c r="H17" i="60"/>
  <c r="G17" i="60"/>
  <c r="H16" i="60"/>
  <c r="G16" i="60"/>
  <c r="G15" i="60"/>
  <c r="H15" i="60" s="1"/>
  <c r="G14" i="60"/>
  <c r="H14" i="60" s="1"/>
  <c r="H13" i="60"/>
  <c r="G13" i="60"/>
  <c r="G12" i="60"/>
  <c r="H12" i="60" s="1"/>
  <c r="G11" i="60"/>
  <c r="H11" i="60" s="1"/>
  <c r="G10" i="60"/>
  <c r="H9" i="60"/>
  <c r="G9" i="60"/>
  <c r="H8" i="60"/>
  <c r="G8" i="60"/>
  <c r="G7" i="60"/>
  <c r="G38" i="60" s="1"/>
  <c r="H38" i="60" s="1"/>
  <c r="F44" i="59"/>
  <c r="E44" i="59"/>
  <c r="I43" i="59"/>
  <c r="H43" i="59"/>
  <c r="F38" i="59"/>
  <c r="I33" i="59"/>
  <c r="H33" i="59"/>
  <c r="J23" i="59"/>
  <c r="K23" i="59" s="1"/>
  <c r="J22" i="59"/>
  <c r="K22" i="59" s="1"/>
  <c r="J21" i="59"/>
  <c r="K21" i="59" s="1"/>
  <c r="J20" i="59"/>
  <c r="K20" i="59" s="1"/>
  <c r="L33" i="59"/>
  <c r="J19" i="59"/>
  <c r="G33" i="59"/>
  <c r="F33" i="59"/>
  <c r="E33" i="59"/>
  <c r="D33" i="59"/>
  <c r="C33" i="59"/>
  <c r="B33" i="59"/>
  <c r="J18" i="59"/>
  <c r="K18" i="59" s="1"/>
  <c r="J17" i="59"/>
  <c r="K17" i="59" s="1"/>
  <c r="J16" i="59"/>
  <c r="K16" i="59" s="1"/>
  <c r="J15" i="59"/>
  <c r="K15" i="59" s="1"/>
  <c r="J14" i="59"/>
  <c r="K14" i="59" s="1"/>
  <c r="J13" i="59"/>
  <c r="K13" i="59" s="1"/>
  <c r="J12" i="59"/>
  <c r="K12" i="59" s="1"/>
  <c r="J11" i="59"/>
  <c r="K11" i="59" s="1"/>
  <c r="J10" i="59"/>
  <c r="K10" i="59" s="1"/>
  <c r="L42" i="59"/>
  <c r="J9" i="59"/>
  <c r="K9" i="59" s="1"/>
  <c r="D42" i="59"/>
  <c r="C42" i="59"/>
  <c r="L44" i="59"/>
  <c r="I42" i="59"/>
  <c r="H42" i="59"/>
  <c r="G43" i="59"/>
  <c r="F43" i="59"/>
  <c r="E43" i="59"/>
  <c r="D44" i="59"/>
  <c r="C44" i="59"/>
  <c r="B42" i="59"/>
  <c r="L38" i="59"/>
  <c r="I38" i="59"/>
  <c r="J7" i="59"/>
  <c r="E38" i="59"/>
  <c r="D38" i="59"/>
  <c r="C38" i="59"/>
  <c r="B38" i="59"/>
  <c r="D33" i="84" l="1"/>
  <c r="D44" i="84"/>
  <c r="G22" i="84"/>
  <c r="H22" i="84" s="1"/>
  <c r="F22" i="85"/>
  <c r="G22" i="85" s="1"/>
  <c r="H22" i="85" s="1"/>
  <c r="E19" i="85"/>
  <c r="D19" i="85"/>
  <c r="C43" i="84"/>
  <c r="C19" i="85"/>
  <c r="C33" i="84"/>
  <c r="D42" i="84"/>
  <c r="F42" i="84"/>
  <c r="G19" i="84"/>
  <c r="F43" i="84"/>
  <c r="F19" i="85"/>
  <c r="F33" i="84"/>
  <c r="F44" i="84"/>
  <c r="F21" i="85"/>
  <c r="G21" i="84"/>
  <c r="H21" i="84" s="1"/>
  <c r="G20" i="84"/>
  <c r="H20" i="84" s="1"/>
  <c r="F20" i="85"/>
  <c r="G8" i="85"/>
  <c r="E21" i="85"/>
  <c r="G21" i="85" s="1"/>
  <c r="H21" i="85" s="1"/>
  <c r="D21" i="85"/>
  <c r="C20" i="84"/>
  <c r="D20" i="85" s="1"/>
  <c r="D43" i="84"/>
  <c r="O7" i="85"/>
  <c r="O8" i="85" s="1"/>
  <c r="O9" i="85" s="1"/>
  <c r="O10" i="85" s="1"/>
  <c r="O11" i="85" s="1"/>
  <c r="O12" i="85" s="1"/>
  <c r="O13" i="85" s="1"/>
  <c r="O14" i="85" s="1"/>
  <c r="O15" i="85" s="1"/>
  <c r="O16" i="85" s="1"/>
  <c r="O17" i="85" s="1"/>
  <c r="O18" i="85" s="1"/>
  <c r="K8" i="85"/>
  <c r="K10" i="85"/>
  <c r="K12" i="85"/>
  <c r="K14" i="85"/>
  <c r="K16" i="85"/>
  <c r="K18" i="85"/>
  <c r="G44" i="84"/>
  <c r="G38" i="85"/>
  <c r="H38" i="85" s="1"/>
  <c r="C23" i="85"/>
  <c r="K7" i="85"/>
  <c r="K9" i="85"/>
  <c r="K11" i="85"/>
  <c r="K13" i="85"/>
  <c r="K15" i="85"/>
  <c r="H7" i="61"/>
  <c r="O7" i="61"/>
  <c r="G38" i="61"/>
  <c r="H38" i="61" s="1"/>
  <c r="D35" i="61"/>
  <c r="C35" i="61"/>
  <c r="F35" i="61"/>
  <c r="M7" i="61"/>
  <c r="M8" i="61" s="1"/>
  <c r="M9" i="61" s="1"/>
  <c r="M10" i="61" s="1"/>
  <c r="M11" i="61" s="1"/>
  <c r="M12" i="61" s="1"/>
  <c r="M13" i="61" s="1"/>
  <c r="M14" i="61" s="1"/>
  <c r="M15" i="61" s="1"/>
  <c r="M16" i="61" s="1"/>
  <c r="M17" i="61" s="1"/>
  <c r="M18" i="61" s="1"/>
  <c r="G8" i="61"/>
  <c r="F42" i="61"/>
  <c r="E42" i="61"/>
  <c r="C34" i="61"/>
  <c r="E38" i="61"/>
  <c r="C44" i="61"/>
  <c r="E34" i="61"/>
  <c r="E35" i="61" s="1"/>
  <c r="C43" i="61"/>
  <c r="E44" i="61"/>
  <c r="D34" i="61"/>
  <c r="D44" i="61"/>
  <c r="G19" i="61"/>
  <c r="F34" i="61"/>
  <c r="F44" i="61"/>
  <c r="C43" i="60"/>
  <c r="K2" i="60"/>
  <c r="C42" i="60"/>
  <c r="P55" i="60"/>
  <c r="P67" i="60"/>
  <c r="D19" i="60" s="1"/>
  <c r="P71" i="60"/>
  <c r="D23" i="60" s="1"/>
  <c r="P75" i="60"/>
  <c r="P50" i="60"/>
  <c r="P58" i="60"/>
  <c r="P68" i="60"/>
  <c r="P72" i="60"/>
  <c r="P76" i="60"/>
  <c r="P56" i="60"/>
  <c r="P51" i="60"/>
  <c r="D21" i="60" s="1"/>
  <c r="P69" i="60"/>
  <c r="P73" i="60"/>
  <c r="G21" i="60"/>
  <c r="G23" i="60"/>
  <c r="H10" i="60"/>
  <c r="E42" i="60"/>
  <c r="G59" i="60"/>
  <c r="H7" i="60"/>
  <c r="G54" i="60"/>
  <c r="F22" i="60"/>
  <c r="G22" i="60" s="1"/>
  <c r="H22" i="60" s="1"/>
  <c r="G49" i="60"/>
  <c r="G52" i="60"/>
  <c r="G60" i="60"/>
  <c r="G67" i="60"/>
  <c r="G71" i="60"/>
  <c r="G75" i="60"/>
  <c r="C44" i="60"/>
  <c r="G55" i="60"/>
  <c r="G51" i="60"/>
  <c r="C33" i="60"/>
  <c r="G50" i="60"/>
  <c r="G68" i="60"/>
  <c r="G72" i="60"/>
  <c r="F19" i="60"/>
  <c r="G20" i="60"/>
  <c r="K19" i="59"/>
  <c r="J33" i="59"/>
  <c r="K7" i="59"/>
  <c r="H38" i="59"/>
  <c r="E42" i="59"/>
  <c r="B43" i="59"/>
  <c r="G44" i="59"/>
  <c r="J8" i="59"/>
  <c r="J38" i="59" s="1"/>
  <c r="K38" i="59" s="1"/>
  <c r="F42" i="59"/>
  <c r="C43" i="59"/>
  <c r="H44" i="59"/>
  <c r="G42" i="59"/>
  <c r="D43" i="59"/>
  <c r="L43" i="59"/>
  <c r="I44" i="59"/>
  <c r="G38" i="59"/>
  <c r="B44" i="59"/>
  <c r="H44" i="84" l="1"/>
  <c r="D43" i="85"/>
  <c r="D42" i="85"/>
  <c r="D44" i="85"/>
  <c r="H8" i="85"/>
  <c r="D33" i="85"/>
  <c r="G42" i="84"/>
  <c r="H42" i="84" s="1"/>
  <c r="H19" i="84"/>
  <c r="G33" i="84"/>
  <c r="E33" i="85"/>
  <c r="G19" i="85"/>
  <c r="F33" i="85"/>
  <c r="F44" i="85"/>
  <c r="E20" i="85"/>
  <c r="C20" i="85"/>
  <c r="C42" i="84"/>
  <c r="K2" i="84"/>
  <c r="G43" i="84"/>
  <c r="H43" i="84" s="1"/>
  <c r="F42" i="85"/>
  <c r="F43" i="85"/>
  <c r="C44" i="84"/>
  <c r="E43" i="85"/>
  <c r="H19" i="61"/>
  <c r="G33" i="61"/>
  <c r="G44" i="61"/>
  <c r="H44" i="61" s="1"/>
  <c r="G42" i="61"/>
  <c r="H42" i="61" s="1"/>
  <c r="H8" i="61"/>
  <c r="G43" i="61"/>
  <c r="H43" i="61" s="1"/>
  <c r="O8" i="61"/>
  <c r="O9" i="61" s="1"/>
  <c r="O10" i="61" s="1"/>
  <c r="O11" i="61" s="1"/>
  <c r="H23" i="60"/>
  <c r="H21" i="60"/>
  <c r="D20" i="60"/>
  <c r="D33" i="60" s="1"/>
  <c r="F33" i="60"/>
  <c r="G19" i="60"/>
  <c r="F42" i="60"/>
  <c r="F43" i="60"/>
  <c r="F44" i="60"/>
  <c r="K33" i="59"/>
  <c r="J42" i="59"/>
  <c r="K42" i="59" s="1"/>
  <c r="J44" i="59"/>
  <c r="K44" i="59" s="1"/>
  <c r="K8" i="59"/>
  <c r="J43" i="59"/>
  <c r="K43" i="59" s="1"/>
  <c r="C42" i="85" l="1"/>
  <c r="C43" i="85"/>
  <c r="G20" i="85"/>
  <c r="E44" i="85"/>
  <c r="H33" i="84"/>
  <c r="G35" i="84"/>
  <c r="C33" i="85"/>
  <c r="E34" i="84"/>
  <c r="E35" i="84" s="1"/>
  <c r="G34" i="84"/>
  <c r="F34" i="84"/>
  <c r="F35" i="84" s="1"/>
  <c r="C34" i="84"/>
  <c r="C35" i="84" s="1"/>
  <c r="D34" i="84"/>
  <c r="D35" i="84" s="1"/>
  <c r="E42" i="85"/>
  <c r="C44" i="85"/>
  <c r="G33" i="85"/>
  <c r="H19" i="85"/>
  <c r="K2" i="85"/>
  <c r="O12" i="61"/>
  <c r="O13" i="61" s="1"/>
  <c r="O14" i="61" s="1"/>
  <c r="O15" i="61" s="1"/>
  <c r="O16" i="61" s="1"/>
  <c r="O17" i="61" s="1"/>
  <c r="O18" i="61" s="1"/>
  <c r="G34" i="61"/>
  <c r="H34" i="61" s="1"/>
  <c r="H33" i="61"/>
  <c r="H35" i="61" s="1"/>
  <c r="H20" i="60"/>
  <c r="D42" i="60"/>
  <c r="D44" i="60"/>
  <c r="D43" i="60"/>
  <c r="G33" i="60"/>
  <c r="H19" i="60"/>
  <c r="G44" i="60"/>
  <c r="G42" i="60"/>
  <c r="G43" i="60"/>
  <c r="H34" i="84" l="1"/>
  <c r="H35" i="84" s="1"/>
  <c r="H20" i="85"/>
  <c r="G44" i="85"/>
  <c r="H44" i="85" s="1"/>
  <c r="G43" i="85"/>
  <c r="H43" i="85" s="1"/>
  <c r="G35" i="85"/>
  <c r="H33" i="85"/>
  <c r="C35" i="85"/>
  <c r="C34" i="85"/>
  <c r="G34" i="85"/>
  <c r="F34" i="85"/>
  <c r="F35" i="85" s="1"/>
  <c r="E34" i="85"/>
  <c r="E35" i="85" s="1"/>
  <c r="D34" i="85"/>
  <c r="D35" i="85" s="1"/>
  <c r="G42" i="85"/>
  <c r="H42" i="85" s="1"/>
  <c r="H44" i="60"/>
  <c r="G35" i="61"/>
  <c r="H42" i="60"/>
  <c r="H43" i="60"/>
  <c r="H33" i="60"/>
  <c r="H34" i="85" l="1"/>
  <c r="H35" i="85" s="1"/>
  <c r="D29" i="80" l="1"/>
  <c r="D28" i="80"/>
  <c r="D27" i="80"/>
  <c r="D26" i="80"/>
  <c r="D19" i="80"/>
  <c r="D18" i="80"/>
  <c r="D17" i="80"/>
  <c r="D16" i="80"/>
  <c r="D10" i="80"/>
  <c r="F10" i="80" l="1"/>
  <c r="G10" i="80" s="1"/>
  <c r="D11" i="80"/>
  <c r="C29" i="80"/>
  <c r="C28" i="80"/>
  <c r="E28" i="80" s="1"/>
  <c r="C19" i="80"/>
  <c r="G19" i="80" s="1"/>
  <c r="C18" i="80"/>
  <c r="E18" i="80" s="1"/>
  <c r="C10" i="80"/>
  <c r="F26" i="80"/>
  <c r="D20" i="80"/>
  <c r="F29" i="80"/>
  <c r="F19" i="80"/>
  <c r="F28" i="80"/>
  <c r="F18" i="80"/>
  <c r="F27" i="80"/>
  <c r="F17" i="80"/>
  <c r="F16" i="80"/>
  <c r="G28" i="80" l="1"/>
  <c r="G29" i="80"/>
  <c r="H29" i="80" s="1"/>
  <c r="F20" i="80"/>
  <c r="E10" i="80"/>
  <c r="H28" i="80"/>
  <c r="H19" i="80"/>
  <c r="F11" i="80"/>
  <c r="E29" i="80"/>
  <c r="E19" i="80"/>
  <c r="G18" i="80"/>
  <c r="H18" i="80" s="1"/>
  <c r="P58" i="80"/>
  <c r="P57" i="80"/>
  <c r="P56" i="80"/>
  <c r="P55" i="80"/>
  <c r="P54" i="80"/>
  <c r="P53" i="80"/>
  <c r="P59" i="80" s="1"/>
  <c r="O58" i="80"/>
  <c r="O57" i="80"/>
  <c r="O56" i="80"/>
  <c r="O55" i="80"/>
  <c r="O54" i="80"/>
  <c r="O53" i="80"/>
  <c r="N58" i="80"/>
  <c r="N57" i="80"/>
  <c r="N56" i="80"/>
  <c r="N55" i="80"/>
  <c r="N54" i="80"/>
  <c r="N53" i="80"/>
  <c r="M58" i="80"/>
  <c r="M57" i="80"/>
  <c r="M56" i="80"/>
  <c r="M55" i="80"/>
  <c r="M54" i="80"/>
  <c r="M53" i="80"/>
  <c r="P52" i="80"/>
  <c r="O52" i="80"/>
  <c r="N52" i="80"/>
  <c r="M52" i="80"/>
  <c r="P48" i="80"/>
  <c r="P47" i="80"/>
  <c r="P46" i="80"/>
  <c r="P45" i="80"/>
  <c r="P44" i="80"/>
  <c r="P43" i="80"/>
  <c r="O48" i="80"/>
  <c r="O47" i="80"/>
  <c r="O46" i="80"/>
  <c r="O45" i="80"/>
  <c r="O44" i="80"/>
  <c r="O43" i="80"/>
  <c r="O49" i="80" s="1"/>
  <c r="N48" i="80"/>
  <c r="N47" i="80"/>
  <c r="N46" i="80"/>
  <c r="N45" i="80"/>
  <c r="N44" i="80"/>
  <c r="N43" i="80"/>
  <c r="N49" i="80" s="1"/>
  <c r="M48" i="80"/>
  <c r="M47" i="80"/>
  <c r="M46" i="80"/>
  <c r="M45" i="80"/>
  <c r="M44" i="80"/>
  <c r="M43" i="80"/>
  <c r="P42" i="80"/>
  <c r="O42" i="80"/>
  <c r="N42" i="80"/>
  <c r="M42" i="80"/>
  <c r="P38" i="80"/>
  <c r="P37" i="80"/>
  <c r="P36" i="80"/>
  <c r="P35" i="80"/>
  <c r="P34" i="80"/>
  <c r="P33" i="80"/>
  <c r="O38" i="80"/>
  <c r="O37" i="80"/>
  <c r="O36" i="80"/>
  <c r="O35" i="80"/>
  <c r="O34" i="80"/>
  <c r="O33" i="80"/>
  <c r="N38" i="80"/>
  <c r="N37" i="80"/>
  <c r="N36" i="80"/>
  <c r="N35" i="80"/>
  <c r="N34" i="80"/>
  <c r="N33" i="80"/>
  <c r="M38" i="80"/>
  <c r="M37" i="80"/>
  <c r="M36" i="80"/>
  <c r="M35" i="80"/>
  <c r="M34" i="80"/>
  <c r="M33" i="80"/>
  <c r="M49" i="80" l="1"/>
  <c r="P39" i="80"/>
  <c r="M59" i="80"/>
  <c r="O39" i="80"/>
  <c r="N59" i="80"/>
  <c r="N39" i="80"/>
  <c r="P49" i="80"/>
  <c r="M39" i="80"/>
  <c r="O59" i="80"/>
  <c r="P32" i="80" l="1"/>
  <c r="O32" i="80"/>
  <c r="N32" i="80"/>
  <c r="M32" i="80"/>
  <c r="P22" i="80"/>
  <c r="O22" i="80"/>
  <c r="N22" i="80"/>
  <c r="M22" i="80"/>
  <c r="B19" i="80" l="1"/>
  <c r="B29" i="80" s="1"/>
  <c r="B18" i="80"/>
  <c r="B28" i="80" s="1"/>
  <c r="B17" i="80"/>
  <c r="B27" i="80" s="1"/>
  <c r="B16" i="80"/>
  <c r="B26" i="80" s="1"/>
  <c r="K31" i="83" l="1"/>
  <c r="K30" i="83"/>
  <c r="K26" i="83"/>
  <c r="K27" i="83" s="1"/>
  <c r="K28" i="83" s="1"/>
  <c r="K29" i="83" s="1"/>
  <c r="M33" i="83"/>
  <c r="H30" i="83"/>
  <c r="N30" i="83" s="1"/>
  <c r="H29" i="83"/>
  <c r="N29" i="83" s="1"/>
  <c r="I29" i="83"/>
  <c r="H28" i="83"/>
  <c r="N28" i="83" s="1"/>
  <c r="I28" i="83"/>
  <c r="H27" i="83"/>
  <c r="N27" i="83" s="1"/>
  <c r="I27" i="83"/>
  <c r="I26" i="83"/>
  <c r="H26" i="83"/>
  <c r="N26" i="83" s="1"/>
  <c r="H25" i="83"/>
  <c r="N25" i="83" s="1"/>
  <c r="I25" i="83"/>
  <c r="K24" i="83"/>
  <c r="H24" i="83"/>
  <c r="N24" i="83" s="1"/>
  <c r="K23" i="83"/>
  <c r="H23" i="83"/>
  <c r="N23" i="83" s="1"/>
  <c r="K22" i="83"/>
  <c r="H22" i="83"/>
  <c r="N22" i="83" s="1"/>
  <c r="K21" i="83"/>
  <c r="A1" i="83"/>
  <c r="I31" i="83" l="1"/>
  <c r="I30" i="83"/>
  <c r="L25" i="83"/>
  <c r="L27" i="83"/>
  <c r="H31" i="83"/>
  <c r="N31" i="83" s="1"/>
  <c r="N33" i="83" s="1"/>
  <c r="I33" i="83" s="1"/>
  <c r="L26" i="83"/>
  <c r="L28" i="83" l="1"/>
  <c r="L29" i="83" l="1"/>
  <c r="L30" i="83" l="1"/>
  <c r="L31" i="83"/>
  <c r="L33" i="83" l="1"/>
  <c r="F17" i="83" s="1"/>
  <c r="B24" i="71" l="1"/>
  <c r="B23" i="71"/>
  <c r="V6" i="59" l="1"/>
  <c r="U6" i="59"/>
  <c r="T6" i="59"/>
  <c r="R6" i="59"/>
  <c r="Q6" i="59"/>
  <c r="P6" i="59"/>
  <c r="Y6" i="59"/>
  <c r="X6" i="59"/>
  <c r="W6" i="59"/>
  <c r="S6" i="59"/>
  <c r="O21" i="58"/>
  <c r="O20" i="58"/>
  <c r="O19" i="58"/>
  <c r="R2" i="58"/>
  <c r="O18" i="58"/>
  <c r="O17" i="58"/>
  <c r="O16" i="58"/>
  <c r="O15" i="58"/>
  <c r="O14" i="58"/>
  <c r="O13" i="58"/>
  <c r="O12" i="58"/>
  <c r="O11" i="58"/>
  <c r="O22" i="58"/>
  <c r="W7" i="58"/>
  <c r="U7" i="58"/>
  <c r="T7" i="58"/>
  <c r="AA6" i="58"/>
  <c r="Z6" i="58"/>
  <c r="Y6" i="58"/>
  <c r="X6" i="58"/>
  <c r="W6" i="58"/>
  <c r="V6" i="58"/>
  <c r="T6" i="58"/>
  <c r="S6" i="58"/>
  <c r="R6" i="58"/>
  <c r="U6" i="58"/>
  <c r="B1" i="80"/>
  <c r="C14" i="80"/>
  <c r="D14" i="80"/>
  <c r="E14" i="80"/>
  <c r="F14" i="80"/>
  <c r="G14" i="80"/>
  <c r="C24" i="80"/>
  <c r="D24" i="80"/>
  <c r="E24" i="80"/>
  <c r="F24" i="80"/>
  <c r="G24" i="80"/>
  <c r="H24" i="80"/>
  <c r="L34" i="58" l="1"/>
  <c r="U8" i="58"/>
  <c r="U9" i="58" s="1"/>
  <c r="U10" i="58" s="1"/>
  <c r="U11" i="58" s="1"/>
  <c r="U12" i="58" s="1"/>
  <c r="U13" i="58" s="1"/>
  <c r="U14" i="58" s="1"/>
  <c r="U15" i="58" s="1"/>
  <c r="U16" i="58" s="1"/>
  <c r="U17" i="58" s="1"/>
  <c r="U18" i="58" s="1"/>
  <c r="W7" i="59"/>
  <c r="W8" i="59" s="1"/>
  <c r="W9" i="59" s="1"/>
  <c r="W10" i="59" s="1"/>
  <c r="W11" i="59" s="1"/>
  <c r="W12" i="59" s="1"/>
  <c r="W13" i="59" s="1"/>
  <c r="W14" i="59" s="1"/>
  <c r="W15" i="59" s="1"/>
  <c r="W16" i="59" s="1"/>
  <c r="W17" i="59" s="1"/>
  <c r="W18" i="59" s="1"/>
  <c r="Q7" i="59"/>
  <c r="W8" i="58"/>
  <c r="W9" i="58" s="1"/>
  <c r="W10" i="58" s="1"/>
  <c r="W11" i="58" s="1"/>
  <c r="W12" i="58" s="1"/>
  <c r="W13" i="58" s="1"/>
  <c r="W14" i="58" s="1"/>
  <c r="W15" i="58" s="1"/>
  <c r="W16" i="58" s="1"/>
  <c r="W17" i="58" s="1"/>
  <c r="W18" i="58" s="1"/>
  <c r="T8" i="58"/>
  <c r="T9" i="58" s="1"/>
  <c r="T10" i="58" s="1"/>
  <c r="O10" i="58"/>
  <c r="R7" i="59"/>
  <c r="S7" i="58"/>
  <c r="S8" i="58" s="1"/>
  <c r="S9" i="58" s="1"/>
  <c r="S10" i="58" s="1"/>
  <c r="S7" i="59"/>
  <c r="P13" i="59"/>
  <c r="P7" i="59"/>
  <c r="P11" i="59"/>
  <c r="P15" i="59"/>
  <c r="P9" i="59"/>
  <c r="P8" i="59"/>
  <c r="Y7" i="59"/>
  <c r="Y8" i="59" s="1"/>
  <c r="Y9" i="59" s="1"/>
  <c r="Y10" i="59" s="1"/>
  <c r="Y11" i="59" s="1"/>
  <c r="Y12" i="59" s="1"/>
  <c r="Y13" i="59" s="1"/>
  <c r="Y14" i="59" s="1"/>
  <c r="Y15" i="59" s="1"/>
  <c r="Y16" i="59" s="1"/>
  <c r="Y17" i="59" s="1"/>
  <c r="Y18" i="59" s="1"/>
  <c r="P12" i="59"/>
  <c r="P10" i="59"/>
  <c r="P14" i="59"/>
  <c r="Y7" i="58"/>
  <c r="Y8" i="58" s="1"/>
  <c r="Y9" i="58" s="1"/>
  <c r="Y10" i="58" s="1"/>
  <c r="Y11" i="58" s="1"/>
  <c r="Y12" i="58" s="1"/>
  <c r="Y13" i="58" s="1"/>
  <c r="Y14" i="58" s="1"/>
  <c r="Y15" i="58" s="1"/>
  <c r="Y16" i="58" s="1"/>
  <c r="Y17" i="58" s="1"/>
  <c r="Y18" i="58" s="1"/>
  <c r="R13" i="58"/>
  <c r="R17" i="58"/>
  <c r="R9" i="58"/>
  <c r="R18" i="58"/>
  <c r="R8" i="58"/>
  <c r="R12" i="58"/>
  <c r="R16" i="58"/>
  <c r="R7" i="58"/>
  <c r="R11" i="58"/>
  <c r="B34" i="58" s="1"/>
  <c r="B35" i="58" s="1"/>
  <c r="R15" i="58"/>
  <c r="T7" i="59"/>
  <c r="AA7" i="58"/>
  <c r="AA8" i="58" s="1"/>
  <c r="AA9" i="58" s="1"/>
  <c r="AA10" i="58" s="1"/>
  <c r="R10" i="58"/>
  <c r="R14" i="58"/>
  <c r="G34" i="58" l="1"/>
  <c r="G35" i="58" s="1"/>
  <c r="I34" i="58"/>
  <c r="I35" i="58" s="1"/>
  <c r="E34" i="58"/>
  <c r="E34" i="60"/>
  <c r="E35" i="60" s="1"/>
  <c r="D34" i="60"/>
  <c r="D35" i="60" s="1"/>
  <c r="C34" i="60"/>
  <c r="C35" i="60" s="1"/>
  <c r="G34" i="60"/>
  <c r="F34" i="60"/>
  <c r="F35" i="60" s="1"/>
  <c r="P17" i="59"/>
  <c r="P18" i="59"/>
  <c r="S8" i="59"/>
  <c r="S9" i="59" s="1"/>
  <c r="S10" i="59" s="1"/>
  <c r="S11" i="59" s="1"/>
  <c r="S12" i="59" s="1"/>
  <c r="S13" i="59" s="1"/>
  <c r="S14" i="59" s="1"/>
  <c r="S15" i="59" s="1"/>
  <c r="S16" i="59" s="1"/>
  <c r="S17" i="59" s="1"/>
  <c r="S18" i="59" s="1"/>
  <c r="P16" i="59"/>
  <c r="Q8" i="59"/>
  <c r="Q9" i="59" s="1"/>
  <c r="Q10" i="59" s="1"/>
  <c r="Q11" i="59" s="1"/>
  <c r="Q12" i="59" s="1"/>
  <c r="Q13" i="59" s="1"/>
  <c r="Q14" i="59" s="1"/>
  <c r="Q15" i="59" s="1"/>
  <c r="Q16" i="59" s="1"/>
  <c r="Q17" i="59" s="1"/>
  <c r="Q18" i="59" s="1"/>
  <c r="R8" i="59"/>
  <c r="R9" i="59" s="1"/>
  <c r="R10" i="59" s="1"/>
  <c r="R11" i="59" s="1"/>
  <c r="R12" i="59" s="1"/>
  <c r="R13" i="59" s="1"/>
  <c r="R14" i="59" s="1"/>
  <c r="R15" i="59" s="1"/>
  <c r="R16" i="59" s="1"/>
  <c r="R17" i="59" s="1"/>
  <c r="R18" i="59" s="1"/>
  <c r="S11" i="58"/>
  <c r="T8" i="59"/>
  <c r="U7" i="59"/>
  <c r="U8" i="59" s="1"/>
  <c r="U9" i="59" s="1"/>
  <c r="U10" i="59" s="1"/>
  <c r="U11" i="59" s="1"/>
  <c r="U12" i="59" s="1"/>
  <c r="U13" i="59" s="1"/>
  <c r="U14" i="59" s="1"/>
  <c r="U15" i="59" s="1"/>
  <c r="U16" i="59" s="1"/>
  <c r="U17" i="59" s="1"/>
  <c r="U18" i="59" s="1"/>
  <c r="P2" i="59"/>
  <c r="AA11" i="58"/>
  <c r="T11" i="58"/>
  <c r="V7" i="58"/>
  <c r="V8" i="58" s="1"/>
  <c r="V9" i="58" s="1"/>
  <c r="V10" i="58" s="1"/>
  <c r="S12" i="58" l="1"/>
  <c r="S13" i="58" s="1"/>
  <c r="S14" i="58" s="1"/>
  <c r="S15" i="58" s="1"/>
  <c r="S16" i="58" s="1"/>
  <c r="S17" i="58" s="1"/>
  <c r="S18" i="58" s="1"/>
  <c r="C34" i="58"/>
  <c r="C35" i="58" s="1"/>
  <c r="T12" i="58"/>
  <c r="T13" i="58" s="1"/>
  <c r="T14" i="58" s="1"/>
  <c r="T15" i="58" s="1"/>
  <c r="T16" i="58" s="1"/>
  <c r="T17" i="58" s="1"/>
  <c r="T18" i="58" s="1"/>
  <c r="D34" i="58"/>
  <c r="D35" i="58" s="1"/>
  <c r="AA12" i="58"/>
  <c r="AA13" i="58" s="1"/>
  <c r="AA14" i="58" s="1"/>
  <c r="AA15" i="58" s="1"/>
  <c r="AA16" i="58" s="1"/>
  <c r="AA17" i="58" s="1"/>
  <c r="AA18" i="58" s="1"/>
  <c r="J34" i="58"/>
  <c r="H34" i="60"/>
  <c r="H35" i="60" s="1"/>
  <c r="G35" i="60"/>
  <c r="C34" i="59"/>
  <c r="C35" i="59" s="1"/>
  <c r="D34" i="59"/>
  <c r="D35" i="59" s="1"/>
  <c r="J34" i="59"/>
  <c r="B34" i="59"/>
  <c r="B35" i="59" s="1"/>
  <c r="L34" i="59"/>
  <c r="I34" i="59"/>
  <c r="I35" i="59" s="1"/>
  <c r="G34" i="59"/>
  <c r="G35" i="59" s="1"/>
  <c r="F34" i="59"/>
  <c r="F35" i="59" s="1"/>
  <c r="E34" i="59"/>
  <c r="T9" i="59"/>
  <c r="T10" i="59" s="1"/>
  <c r="T11" i="59" s="1"/>
  <c r="T12" i="59" s="1"/>
  <c r="T13" i="59" s="1"/>
  <c r="T14" i="59" s="1"/>
  <c r="T15" i="59" s="1"/>
  <c r="T16" i="59" s="1"/>
  <c r="T17" i="59" s="1"/>
  <c r="T18" i="59" s="1"/>
  <c r="V7" i="59"/>
  <c r="V8" i="59" s="1"/>
  <c r="X7" i="58"/>
  <c r="X8" i="58" s="1"/>
  <c r="X9" i="58" s="1"/>
  <c r="X10" i="58" s="1"/>
  <c r="V11" i="58"/>
  <c r="K34" i="58" l="1"/>
  <c r="K35" i="58" s="1"/>
  <c r="J35" i="58"/>
  <c r="V12" i="58"/>
  <c r="V13" i="58" s="1"/>
  <c r="V14" i="58" s="1"/>
  <c r="V15" i="58" s="1"/>
  <c r="V16" i="58" s="1"/>
  <c r="V17" i="58" s="1"/>
  <c r="V18" i="58" s="1"/>
  <c r="F34" i="58"/>
  <c r="F35" i="58" s="1"/>
  <c r="K34" i="59"/>
  <c r="K35" i="59" s="1"/>
  <c r="J35" i="59"/>
  <c r="V9" i="59"/>
  <c r="V10" i="59" s="1"/>
  <c r="V11" i="59" s="1"/>
  <c r="X7" i="59"/>
  <c r="X8" i="59" s="1"/>
  <c r="Z7" i="58"/>
  <c r="Z8" i="58" s="1"/>
  <c r="Z9" i="58" s="1"/>
  <c r="Z10" i="58" s="1"/>
  <c r="X11" i="58"/>
  <c r="X12" i="58" l="1"/>
  <c r="X13" i="58" s="1"/>
  <c r="X14" i="58" s="1"/>
  <c r="X15" i="58" s="1"/>
  <c r="X16" i="58" s="1"/>
  <c r="X17" i="58" s="1"/>
  <c r="X18" i="58" s="1"/>
  <c r="H34" i="58"/>
  <c r="H35" i="58" s="1"/>
  <c r="V12" i="59"/>
  <c r="V13" i="59" s="1"/>
  <c r="V14" i="59" s="1"/>
  <c r="V15" i="59" s="1"/>
  <c r="V16" i="59" s="1"/>
  <c r="V17" i="59" s="1"/>
  <c r="V18" i="59" s="1"/>
  <c r="H34" i="59"/>
  <c r="H35" i="59" s="1"/>
  <c r="X9" i="59"/>
  <c r="X10" i="59" s="1"/>
  <c r="Z11" i="58"/>
  <c r="Z12" i="58" s="1"/>
  <c r="Z13" i="58" s="1"/>
  <c r="Z14" i="58" s="1"/>
  <c r="Z15" i="58" s="1"/>
  <c r="Z16" i="58" s="1"/>
  <c r="Z17" i="58" s="1"/>
  <c r="Z18" i="58" s="1"/>
  <c r="X11" i="59" l="1"/>
  <c r="X12" i="59" s="1"/>
  <c r="X13" i="59" s="1"/>
  <c r="X14" i="59" s="1"/>
  <c r="X15" i="59" s="1"/>
  <c r="X16" i="59" s="1"/>
  <c r="X17" i="59" s="1"/>
  <c r="X18" i="59" s="1"/>
  <c r="D30" i="80"/>
  <c r="F30" i="80" l="1"/>
  <c r="G27" i="71" l="1"/>
  <c r="F26" i="71"/>
  <c r="F27" i="71"/>
  <c r="G9" i="71"/>
  <c r="G8" i="71"/>
  <c r="F9" i="71"/>
  <c r="F8" i="71"/>
  <c r="R154" i="77"/>
  <c r="K40" i="77"/>
  <c r="K35" i="77"/>
  <c r="K34" i="77"/>
  <c r="G25" i="71" s="1"/>
  <c r="I34" i="77"/>
  <c r="K33" i="77"/>
  <c r="G26" i="71" s="1"/>
  <c r="G32" i="77"/>
  <c r="K32" i="77" s="1"/>
  <c r="K31" i="77"/>
  <c r="I30" i="77"/>
  <c r="I36" i="77" s="1"/>
  <c r="G30" i="77"/>
  <c r="G36" i="77" s="1"/>
  <c r="A30" i="77"/>
  <c r="A29" i="77"/>
  <c r="R21" i="77"/>
  <c r="G20" i="77"/>
  <c r="I20" i="77" s="1"/>
  <c r="I21" i="77" s="1"/>
  <c r="K15" i="77"/>
  <c r="K14" i="77"/>
  <c r="G10" i="77"/>
  <c r="I10" i="77" s="1"/>
  <c r="C8" i="77"/>
  <c r="C9" i="77" s="1"/>
  <c r="C10" i="77" s="1"/>
  <c r="C11" i="77" s="1"/>
  <c r="C14" i="77" s="1"/>
  <c r="C15" i="77" s="1"/>
  <c r="C16" i="77" s="1"/>
  <c r="C17" i="77" s="1"/>
  <c r="C19" i="77" s="1"/>
  <c r="C20" i="77" s="1"/>
  <c r="C21" i="77" s="1"/>
  <c r="C22" i="77" s="1"/>
  <c r="C23" i="77" s="1"/>
  <c r="C24" i="77" s="1"/>
  <c r="C25" i="77" s="1"/>
  <c r="C26" i="77" s="1"/>
  <c r="C27" i="77" s="1"/>
  <c r="C30" i="77" s="1"/>
  <c r="C31" i="77" s="1"/>
  <c r="C32" i="77" s="1"/>
  <c r="C33" i="77" s="1"/>
  <c r="C34" i="77" s="1"/>
  <c r="C35" i="77" s="1"/>
  <c r="C36" i="77" s="1"/>
  <c r="C38" i="77" s="1"/>
  <c r="C40" i="77" s="1"/>
  <c r="C43" i="77" s="1"/>
  <c r="C44" i="77" s="1"/>
  <c r="C45" i="77" s="1"/>
  <c r="C46" i="77" s="1"/>
  <c r="C47" i="77" s="1"/>
  <c r="Q7" i="77"/>
  <c r="I7" i="77"/>
  <c r="I9" i="77" s="1"/>
  <c r="I17" i="77" s="1"/>
  <c r="G7" i="77"/>
  <c r="Q6" i="77"/>
  <c r="R18" i="77" s="1"/>
  <c r="K6" i="77"/>
  <c r="R5" i="77" s="1"/>
  <c r="I6" i="77"/>
  <c r="R130" i="76"/>
  <c r="K40" i="76"/>
  <c r="K35" i="76"/>
  <c r="K34" i="76"/>
  <c r="I34" i="76"/>
  <c r="F25" i="71" s="1"/>
  <c r="K33" i="76"/>
  <c r="G32" i="76"/>
  <c r="K32" i="76" s="1"/>
  <c r="K31" i="76"/>
  <c r="I30" i="76"/>
  <c r="F24" i="71" s="1"/>
  <c r="G30" i="76"/>
  <c r="A30" i="76"/>
  <c r="A29" i="76"/>
  <c r="G20" i="76"/>
  <c r="I20" i="76" s="1"/>
  <c r="I21" i="76" s="1"/>
  <c r="K15" i="76"/>
  <c r="K14" i="76"/>
  <c r="G10" i="76"/>
  <c r="I10" i="76" s="1"/>
  <c r="C8" i="76"/>
  <c r="C9" i="76" s="1"/>
  <c r="C10" i="76" s="1"/>
  <c r="C11" i="76" s="1"/>
  <c r="C14" i="76" s="1"/>
  <c r="C15" i="76" s="1"/>
  <c r="C16" i="76" s="1"/>
  <c r="C17" i="76" s="1"/>
  <c r="C19" i="76" s="1"/>
  <c r="C20" i="76" s="1"/>
  <c r="C21" i="76" s="1"/>
  <c r="C22" i="76" s="1"/>
  <c r="C23" i="76" s="1"/>
  <c r="C24" i="76" s="1"/>
  <c r="C25" i="76" s="1"/>
  <c r="C26" i="76" s="1"/>
  <c r="C27" i="76" s="1"/>
  <c r="C30" i="76" s="1"/>
  <c r="C31" i="76" s="1"/>
  <c r="C32" i="76" s="1"/>
  <c r="C33" i="76" s="1"/>
  <c r="C34" i="76" s="1"/>
  <c r="C35" i="76" s="1"/>
  <c r="C36" i="76" s="1"/>
  <c r="C38" i="76" s="1"/>
  <c r="C40" i="76" s="1"/>
  <c r="C43" i="76" s="1"/>
  <c r="C44" i="76" s="1"/>
  <c r="C45" i="76" s="1"/>
  <c r="C46" i="76" s="1"/>
  <c r="C47" i="76" s="1"/>
  <c r="Q7" i="76"/>
  <c r="I7" i="76"/>
  <c r="I9" i="76" s="1"/>
  <c r="G7" i="76"/>
  <c r="Q6" i="76"/>
  <c r="R225" i="76" s="1"/>
  <c r="K6" i="76"/>
  <c r="R5" i="76" s="1"/>
  <c r="I6" i="76"/>
  <c r="R220" i="75"/>
  <c r="R219" i="75"/>
  <c r="R212" i="75"/>
  <c r="R211" i="75"/>
  <c r="R204" i="75"/>
  <c r="R203" i="75"/>
  <c r="R196" i="75"/>
  <c r="R195" i="75"/>
  <c r="R188" i="75"/>
  <c r="R187" i="75"/>
  <c r="R180" i="75"/>
  <c r="R179" i="75"/>
  <c r="R172" i="75"/>
  <c r="R171" i="75"/>
  <c r="R164" i="75"/>
  <c r="R163" i="75"/>
  <c r="R156" i="75"/>
  <c r="R155" i="75"/>
  <c r="R148" i="75"/>
  <c r="R147" i="75"/>
  <c r="R140" i="75"/>
  <c r="R139" i="75"/>
  <c r="R132" i="75"/>
  <c r="R131" i="75"/>
  <c r="R124" i="75"/>
  <c r="R123" i="75"/>
  <c r="R116" i="75"/>
  <c r="R115" i="75"/>
  <c r="R108" i="75"/>
  <c r="R107" i="75"/>
  <c r="R100" i="75"/>
  <c r="R99" i="75"/>
  <c r="R92" i="75"/>
  <c r="R91" i="75"/>
  <c r="R84" i="75"/>
  <c r="R83" i="75"/>
  <c r="R76" i="75"/>
  <c r="R75" i="75"/>
  <c r="R68" i="75"/>
  <c r="R67" i="75"/>
  <c r="R60" i="75"/>
  <c r="R59" i="75"/>
  <c r="R52" i="75"/>
  <c r="R51" i="75"/>
  <c r="R46" i="75"/>
  <c r="R43" i="75"/>
  <c r="K40" i="75"/>
  <c r="R35" i="75"/>
  <c r="K35" i="75"/>
  <c r="I34" i="75"/>
  <c r="I36" i="75" s="1"/>
  <c r="R33" i="75"/>
  <c r="K33" i="75"/>
  <c r="G32" i="75"/>
  <c r="K32" i="75" s="1"/>
  <c r="R31" i="75"/>
  <c r="K31" i="75"/>
  <c r="I30" i="75"/>
  <c r="G30" i="75"/>
  <c r="K30" i="75" s="1"/>
  <c r="A30" i="75"/>
  <c r="R29" i="75"/>
  <c r="A29" i="75"/>
  <c r="R26" i="75"/>
  <c r="R25" i="75"/>
  <c r="R24" i="75"/>
  <c r="R22" i="75"/>
  <c r="R20" i="75"/>
  <c r="G20" i="75"/>
  <c r="I20" i="75" s="1"/>
  <c r="I21" i="75" s="1"/>
  <c r="R19" i="75"/>
  <c r="R18" i="75"/>
  <c r="R16" i="75"/>
  <c r="K15" i="75"/>
  <c r="R14" i="75"/>
  <c r="K14" i="75"/>
  <c r="R13" i="75"/>
  <c r="R10" i="75"/>
  <c r="G10" i="75"/>
  <c r="I10" i="75" s="1"/>
  <c r="Y9" i="75"/>
  <c r="R9" i="75"/>
  <c r="Z8" i="75"/>
  <c r="Y8" i="75"/>
  <c r="C8" i="75"/>
  <c r="C9" i="75" s="1"/>
  <c r="C10" i="75" s="1"/>
  <c r="C11" i="75" s="1"/>
  <c r="C14" i="75" s="1"/>
  <c r="C15" i="75" s="1"/>
  <c r="C16" i="75" s="1"/>
  <c r="C17" i="75" s="1"/>
  <c r="C19" i="75" s="1"/>
  <c r="C20" i="75" s="1"/>
  <c r="C21" i="75" s="1"/>
  <c r="C22" i="75" s="1"/>
  <c r="C23" i="75" s="1"/>
  <c r="C24" i="75" s="1"/>
  <c r="C25" i="75" s="1"/>
  <c r="C26" i="75" s="1"/>
  <c r="C27" i="75" s="1"/>
  <c r="C30" i="75" s="1"/>
  <c r="C31" i="75" s="1"/>
  <c r="C32" i="75" s="1"/>
  <c r="C33" i="75" s="1"/>
  <c r="C34" i="75" s="1"/>
  <c r="C35" i="75" s="1"/>
  <c r="C36" i="75" s="1"/>
  <c r="C38" i="75" s="1"/>
  <c r="C40" i="75" s="1"/>
  <c r="C43" i="75" s="1"/>
  <c r="C44" i="75" s="1"/>
  <c r="C45" i="75" s="1"/>
  <c r="C46" i="75" s="1"/>
  <c r="C47" i="75" s="1"/>
  <c r="Z7" i="75"/>
  <c r="Y7" i="75"/>
  <c r="Q7" i="75"/>
  <c r="I7" i="75"/>
  <c r="I9" i="75" s="1"/>
  <c r="I17" i="75" s="1"/>
  <c r="G7" i="75"/>
  <c r="Y6" i="75"/>
  <c r="Z6" i="75" s="1"/>
  <c r="Q6" i="75"/>
  <c r="R218" i="75" s="1"/>
  <c r="K6" i="75"/>
  <c r="I6" i="75"/>
  <c r="R5" i="75"/>
  <c r="C24" i="50"/>
  <c r="K20" i="75" l="1"/>
  <c r="G21" i="75"/>
  <c r="K30" i="77"/>
  <c r="K20" i="77"/>
  <c r="R42" i="77"/>
  <c r="R66" i="77"/>
  <c r="R27" i="77"/>
  <c r="R82" i="77"/>
  <c r="G24" i="71"/>
  <c r="R90" i="77"/>
  <c r="R130" i="77"/>
  <c r="R146" i="77"/>
  <c r="G23" i="71"/>
  <c r="K20" i="76"/>
  <c r="R86" i="76"/>
  <c r="R25" i="76"/>
  <c r="R107" i="76"/>
  <c r="R9" i="76"/>
  <c r="R155" i="76"/>
  <c r="K30" i="76"/>
  <c r="I36" i="76"/>
  <c r="R187" i="76"/>
  <c r="R219" i="76"/>
  <c r="F23" i="71"/>
  <c r="R43" i="76"/>
  <c r="R66" i="76"/>
  <c r="K36" i="77"/>
  <c r="R36" i="77"/>
  <c r="R74" i="77"/>
  <c r="R138" i="77"/>
  <c r="R12" i="77"/>
  <c r="R32" i="77"/>
  <c r="R48" i="77"/>
  <c r="R98" i="77"/>
  <c r="R162" i="77"/>
  <c r="R50" i="77"/>
  <c r="R106" i="77"/>
  <c r="R170" i="77"/>
  <c r="R56" i="77"/>
  <c r="R114" i="77"/>
  <c r="R178" i="77"/>
  <c r="R6" i="77"/>
  <c r="R17" i="77"/>
  <c r="R58" i="77"/>
  <c r="R122" i="77"/>
  <c r="R186" i="77"/>
  <c r="I22" i="77"/>
  <c r="R10" i="77"/>
  <c r="R20" i="77"/>
  <c r="R25" i="77"/>
  <c r="R33" i="77"/>
  <c r="R43" i="77"/>
  <c r="R59" i="77"/>
  <c r="R75" i="77"/>
  <c r="R99" i="77"/>
  <c r="R115" i="77"/>
  <c r="R139" i="77"/>
  <c r="R155" i="77"/>
  <c r="R171" i="77"/>
  <c r="R219" i="77"/>
  <c r="R9" i="77"/>
  <c r="R31" i="77"/>
  <c r="R46" i="77"/>
  <c r="R52" i="77"/>
  <c r="R60" i="77"/>
  <c r="R68" i="77"/>
  <c r="R76" i="77"/>
  <c r="R84" i="77"/>
  <c r="R92" i="77"/>
  <c r="R100" i="77"/>
  <c r="R108" i="77"/>
  <c r="R116" i="77"/>
  <c r="R124" i="77"/>
  <c r="R132" i="77"/>
  <c r="R140" i="77"/>
  <c r="R148" i="77"/>
  <c r="R156" i="77"/>
  <c r="R164" i="77"/>
  <c r="R172" i="77"/>
  <c r="R180" i="77"/>
  <c r="R188" i="77"/>
  <c r="R196" i="77"/>
  <c r="R204" i="77"/>
  <c r="R212" i="77"/>
  <c r="R220" i="77"/>
  <c r="K10" i="77"/>
  <c r="R51" i="77"/>
  <c r="R83" i="77"/>
  <c r="R131" i="77"/>
  <c r="R211" i="77"/>
  <c r="K7" i="77"/>
  <c r="R8" i="77"/>
  <c r="R16" i="77"/>
  <c r="G21" i="77"/>
  <c r="R22" i="77"/>
  <c r="R26" i="77"/>
  <c r="R53" i="77"/>
  <c r="R61" i="77"/>
  <c r="R69" i="77"/>
  <c r="R77" i="77"/>
  <c r="R85" i="77"/>
  <c r="R93" i="77"/>
  <c r="R101" i="77"/>
  <c r="R109" i="77"/>
  <c r="R117" i="77"/>
  <c r="R125" i="77"/>
  <c r="R133" i="77"/>
  <c r="R141" i="77"/>
  <c r="R149" i="77"/>
  <c r="R157" i="77"/>
  <c r="R165" i="77"/>
  <c r="R173" i="77"/>
  <c r="R181" i="77"/>
  <c r="R189" i="77"/>
  <c r="R197" i="77"/>
  <c r="R205" i="77"/>
  <c r="R213" i="77"/>
  <c r="R221" i="77"/>
  <c r="R13" i="77"/>
  <c r="R29" i="77"/>
  <c r="R35" i="77"/>
  <c r="R67" i="77"/>
  <c r="R91" i="77"/>
  <c r="R107" i="77"/>
  <c r="R123" i="77"/>
  <c r="R147" i="77"/>
  <c r="R163" i="77"/>
  <c r="R179" i="77"/>
  <c r="R187" i="77"/>
  <c r="R195" i="77"/>
  <c r="R203" i="77"/>
  <c r="R14" i="77"/>
  <c r="R19" i="77"/>
  <c r="R24" i="77"/>
  <c r="R44" i="77"/>
  <c r="R54" i="77"/>
  <c r="R62" i="77"/>
  <c r="R70" i="77"/>
  <c r="R78" i="77"/>
  <c r="R86" i="77"/>
  <c r="R94" i="77"/>
  <c r="R102" i="77"/>
  <c r="R110" i="77"/>
  <c r="R118" i="77"/>
  <c r="R126" i="77"/>
  <c r="R134" i="77"/>
  <c r="R142" i="77"/>
  <c r="R150" i="77"/>
  <c r="R158" i="77"/>
  <c r="R166" i="77"/>
  <c r="R174" i="77"/>
  <c r="R182" i="77"/>
  <c r="R190" i="77"/>
  <c r="R198" i="77"/>
  <c r="R206" i="77"/>
  <c r="R214" i="77"/>
  <c r="R222" i="77"/>
  <c r="R7" i="77"/>
  <c r="I11" i="77"/>
  <c r="R34" i="77"/>
  <c r="R41" i="77"/>
  <c r="R47" i="77"/>
  <c r="R55" i="77"/>
  <c r="R63" i="77"/>
  <c r="R71" i="77"/>
  <c r="R79" i="77"/>
  <c r="R87" i="77"/>
  <c r="R95" i="77"/>
  <c r="R103" i="77"/>
  <c r="R111" i="77"/>
  <c r="R119" i="77"/>
  <c r="R127" i="77"/>
  <c r="R135" i="77"/>
  <c r="R143" i="77"/>
  <c r="R151" i="77"/>
  <c r="R159" i="77"/>
  <c r="R167" i="77"/>
  <c r="R175" i="77"/>
  <c r="R183" i="77"/>
  <c r="R191" i="77"/>
  <c r="R199" i="77"/>
  <c r="R207" i="77"/>
  <c r="R215" i="77"/>
  <c r="R223" i="77"/>
  <c r="R72" i="77"/>
  <c r="R128" i="77"/>
  <c r="R224" i="77"/>
  <c r="R64" i="77"/>
  <c r="R80" i="77"/>
  <c r="R88" i="77"/>
  <c r="R96" i="77"/>
  <c r="R104" i="77"/>
  <c r="R112" i="77"/>
  <c r="R120" i="77"/>
  <c r="R136" i="77"/>
  <c r="R144" i="77"/>
  <c r="R152" i="77"/>
  <c r="R160" i="77"/>
  <c r="R168" i="77"/>
  <c r="R176" i="77"/>
  <c r="R184" i="77"/>
  <c r="R192" i="77"/>
  <c r="R200" i="77"/>
  <c r="R208" i="77"/>
  <c r="R216" i="77"/>
  <c r="R11" i="77"/>
  <c r="R15" i="77"/>
  <c r="R23" i="77"/>
  <c r="R28" i="77"/>
  <c r="R30" i="77"/>
  <c r="D35" i="77"/>
  <c r="R45" i="77"/>
  <c r="R49" i="77"/>
  <c r="R57" i="77"/>
  <c r="R65" i="77"/>
  <c r="R73" i="77"/>
  <c r="R81" i="77"/>
  <c r="R89" i="77"/>
  <c r="R97" i="77"/>
  <c r="R105" i="77"/>
  <c r="R113" i="77"/>
  <c r="R121" i="77"/>
  <c r="R129" i="77"/>
  <c r="R137" i="77"/>
  <c r="R145" i="77"/>
  <c r="R153" i="77"/>
  <c r="R161" i="77"/>
  <c r="R169" i="77"/>
  <c r="R177" i="77"/>
  <c r="R185" i="77"/>
  <c r="R193" i="77"/>
  <c r="R201" i="77"/>
  <c r="R209" i="77"/>
  <c r="R217" i="77"/>
  <c r="R225" i="77"/>
  <c r="R194" i="77"/>
  <c r="R202" i="77"/>
  <c r="R210" i="77"/>
  <c r="R218" i="77"/>
  <c r="R33" i="76"/>
  <c r="R44" i="76"/>
  <c r="R67" i="76"/>
  <c r="R90" i="76"/>
  <c r="R110" i="76"/>
  <c r="R131" i="76"/>
  <c r="R162" i="76"/>
  <c r="R194" i="76"/>
  <c r="R10" i="76"/>
  <c r="R18" i="76"/>
  <c r="R29" i="76"/>
  <c r="R50" i="76"/>
  <c r="R70" i="76"/>
  <c r="R91" i="76"/>
  <c r="R114" i="76"/>
  <c r="R134" i="76"/>
  <c r="R163" i="76"/>
  <c r="R195" i="76"/>
  <c r="R19" i="76"/>
  <c r="R51" i="76"/>
  <c r="R74" i="76"/>
  <c r="R94" i="76"/>
  <c r="R115" i="76"/>
  <c r="R138" i="76"/>
  <c r="R170" i="76"/>
  <c r="R202" i="76"/>
  <c r="R54" i="76"/>
  <c r="R35" i="76"/>
  <c r="R210" i="76"/>
  <c r="R98" i="76"/>
  <c r="R118" i="76"/>
  <c r="R171" i="76"/>
  <c r="R13" i="76"/>
  <c r="R58" i="76"/>
  <c r="R78" i="76"/>
  <c r="R99" i="76"/>
  <c r="R122" i="76"/>
  <c r="R146" i="76"/>
  <c r="R178" i="76"/>
  <c r="R20" i="76"/>
  <c r="R59" i="76"/>
  <c r="R82" i="76"/>
  <c r="R102" i="76"/>
  <c r="R123" i="76"/>
  <c r="R147" i="76"/>
  <c r="R179" i="76"/>
  <c r="R211" i="76"/>
  <c r="R17" i="76"/>
  <c r="R12" i="76"/>
  <c r="R75" i="76"/>
  <c r="R139" i="76"/>
  <c r="R203" i="76"/>
  <c r="R7" i="76"/>
  <c r="R14" i="76"/>
  <c r="R24" i="76"/>
  <c r="R62" i="76"/>
  <c r="R83" i="76"/>
  <c r="R106" i="76"/>
  <c r="R126" i="76"/>
  <c r="R154" i="76"/>
  <c r="R186" i="76"/>
  <c r="R218" i="76"/>
  <c r="I11" i="76"/>
  <c r="K10" i="76"/>
  <c r="K36" i="76"/>
  <c r="R31" i="76"/>
  <c r="R46" i="76"/>
  <c r="R52" i="76"/>
  <c r="R60" i="76"/>
  <c r="R68" i="76"/>
  <c r="R76" i="76"/>
  <c r="R84" i="76"/>
  <c r="R92" i="76"/>
  <c r="R100" i="76"/>
  <c r="R108" i="76"/>
  <c r="R116" i="76"/>
  <c r="R124" i="76"/>
  <c r="R132" i="76"/>
  <c r="R140" i="76"/>
  <c r="R148" i="76"/>
  <c r="R156" i="76"/>
  <c r="R164" i="76"/>
  <c r="R172" i="76"/>
  <c r="R180" i="76"/>
  <c r="R188" i="76"/>
  <c r="R196" i="76"/>
  <c r="R204" i="76"/>
  <c r="R212" i="76"/>
  <c r="R220" i="76"/>
  <c r="K7" i="76"/>
  <c r="R8" i="76"/>
  <c r="R16" i="76"/>
  <c r="G21" i="76"/>
  <c r="R22" i="76"/>
  <c r="R26" i="76"/>
  <c r="G36" i="76"/>
  <c r="R53" i="76"/>
  <c r="R61" i="76"/>
  <c r="R69" i="76"/>
  <c r="R77" i="76"/>
  <c r="R85" i="76"/>
  <c r="R93" i="76"/>
  <c r="R101" i="76"/>
  <c r="R109" i="76"/>
  <c r="R117" i="76"/>
  <c r="R125" i="76"/>
  <c r="R133" i="76"/>
  <c r="R141" i="76"/>
  <c r="R149" i="76"/>
  <c r="R157" i="76"/>
  <c r="R165" i="76"/>
  <c r="R173" i="76"/>
  <c r="R181" i="76"/>
  <c r="R189" i="76"/>
  <c r="R197" i="76"/>
  <c r="R205" i="76"/>
  <c r="R213" i="76"/>
  <c r="R221" i="76"/>
  <c r="R142" i="76"/>
  <c r="R150" i="76"/>
  <c r="R158" i="76"/>
  <c r="R166" i="76"/>
  <c r="R174" i="76"/>
  <c r="R182" i="76"/>
  <c r="R190" i="76"/>
  <c r="R198" i="76"/>
  <c r="R206" i="76"/>
  <c r="R214" i="76"/>
  <c r="R222" i="76"/>
  <c r="R55" i="76"/>
  <c r="R71" i="76"/>
  <c r="R87" i="76"/>
  <c r="R127" i="76"/>
  <c r="R207" i="76"/>
  <c r="I17" i="76"/>
  <c r="R21" i="76"/>
  <c r="R27" i="76"/>
  <c r="R32" i="76"/>
  <c r="R36" i="76"/>
  <c r="R42" i="76"/>
  <c r="R48" i="76"/>
  <c r="R56" i="76"/>
  <c r="R64" i="76"/>
  <c r="R72" i="76"/>
  <c r="R80" i="76"/>
  <c r="R88" i="76"/>
  <c r="R96" i="76"/>
  <c r="R104" i="76"/>
  <c r="R112" i="76"/>
  <c r="R120" i="76"/>
  <c r="R128" i="76"/>
  <c r="R136" i="76"/>
  <c r="R144" i="76"/>
  <c r="R152" i="76"/>
  <c r="R160" i="76"/>
  <c r="R168" i="76"/>
  <c r="R176" i="76"/>
  <c r="R184" i="76"/>
  <c r="R192" i="76"/>
  <c r="R200" i="76"/>
  <c r="R208" i="76"/>
  <c r="R216" i="76"/>
  <c r="R224" i="76"/>
  <c r="R34" i="76"/>
  <c r="R41" i="76"/>
  <c r="R47" i="76"/>
  <c r="R63" i="76"/>
  <c r="R79" i="76"/>
  <c r="R95" i="76"/>
  <c r="R103" i="76"/>
  <c r="R111" i="76"/>
  <c r="R119" i="76"/>
  <c r="R135" i="76"/>
  <c r="R143" i="76"/>
  <c r="R151" i="76"/>
  <c r="R159" i="76"/>
  <c r="R167" i="76"/>
  <c r="R175" i="76"/>
  <c r="R183" i="76"/>
  <c r="R191" i="76"/>
  <c r="R199" i="76"/>
  <c r="R215" i="76"/>
  <c r="R223" i="76"/>
  <c r="R6" i="76"/>
  <c r="R11" i="76"/>
  <c r="R15" i="76"/>
  <c r="R23" i="76"/>
  <c r="R28" i="76"/>
  <c r="R30" i="76"/>
  <c r="D35" i="76"/>
  <c r="R45" i="76"/>
  <c r="R49" i="76"/>
  <c r="R57" i="76"/>
  <c r="R65" i="76"/>
  <c r="R73" i="76"/>
  <c r="R81" i="76"/>
  <c r="R89" i="76"/>
  <c r="R97" i="76"/>
  <c r="R105" i="76"/>
  <c r="R113" i="76"/>
  <c r="R121" i="76"/>
  <c r="R129" i="76"/>
  <c r="R137" i="76"/>
  <c r="R145" i="76"/>
  <c r="R153" i="76"/>
  <c r="R161" i="76"/>
  <c r="R169" i="76"/>
  <c r="R177" i="76"/>
  <c r="R185" i="76"/>
  <c r="R193" i="76"/>
  <c r="R201" i="76"/>
  <c r="R209" i="76"/>
  <c r="R217" i="76"/>
  <c r="K10" i="75"/>
  <c r="K7" i="75"/>
  <c r="K36" i="75"/>
  <c r="I22" i="75"/>
  <c r="G36" i="75"/>
  <c r="R53" i="75"/>
  <c r="R61" i="75"/>
  <c r="R69" i="75"/>
  <c r="R77" i="75"/>
  <c r="R85" i="75"/>
  <c r="R93" i="75"/>
  <c r="R101" i="75"/>
  <c r="R109" i="75"/>
  <c r="R117" i="75"/>
  <c r="R125" i="75"/>
  <c r="R133" i="75"/>
  <c r="R141" i="75"/>
  <c r="R149" i="75"/>
  <c r="R157" i="75"/>
  <c r="R165" i="75"/>
  <c r="R173" i="75"/>
  <c r="R181" i="75"/>
  <c r="R189" i="75"/>
  <c r="R197" i="75"/>
  <c r="R205" i="75"/>
  <c r="R213" i="75"/>
  <c r="R221" i="75"/>
  <c r="K34" i="75"/>
  <c r="R44" i="75"/>
  <c r="R54" i="75"/>
  <c r="R62" i="75"/>
  <c r="R70" i="75"/>
  <c r="R78" i="75"/>
  <c r="R86" i="75"/>
  <c r="R94" i="75"/>
  <c r="R102" i="75"/>
  <c r="R110" i="75"/>
  <c r="R118" i="75"/>
  <c r="R126" i="75"/>
  <c r="R134" i="75"/>
  <c r="R142" i="75"/>
  <c r="R150" i="75"/>
  <c r="R158" i="75"/>
  <c r="R166" i="75"/>
  <c r="R174" i="75"/>
  <c r="R182" i="75"/>
  <c r="R190" i="75"/>
  <c r="R198" i="75"/>
  <c r="R206" i="75"/>
  <c r="R214" i="75"/>
  <c r="R222" i="75"/>
  <c r="R8" i="75"/>
  <c r="I11" i="75"/>
  <c r="R34" i="75"/>
  <c r="R41" i="75"/>
  <c r="R47" i="75"/>
  <c r="R55" i="75"/>
  <c r="R63" i="75"/>
  <c r="R71" i="75"/>
  <c r="R79" i="75"/>
  <c r="R87" i="75"/>
  <c r="R95" i="75"/>
  <c r="R103" i="75"/>
  <c r="R111" i="75"/>
  <c r="R119" i="75"/>
  <c r="R127" i="75"/>
  <c r="R135" i="75"/>
  <c r="R143" i="75"/>
  <c r="R151" i="75"/>
  <c r="R159" i="75"/>
  <c r="R167" i="75"/>
  <c r="R175" i="75"/>
  <c r="R183" i="75"/>
  <c r="R191" i="75"/>
  <c r="R199" i="75"/>
  <c r="R207" i="75"/>
  <c r="R215" i="75"/>
  <c r="R223" i="75"/>
  <c r="R21" i="75"/>
  <c r="R27" i="75"/>
  <c r="R32" i="75"/>
  <c r="R36" i="75"/>
  <c r="R42" i="75"/>
  <c r="R48" i="75"/>
  <c r="R56" i="75"/>
  <c r="R64" i="75"/>
  <c r="R72" i="75"/>
  <c r="R80" i="75"/>
  <c r="R88" i="75"/>
  <c r="R96" i="75"/>
  <c r="R104" i="75"/>
  <c r="R112" i="75"/>
  <c r="R120" i="75"/>
  <c r="R128" i="75"/>
  <c r="R136" i="75"/>
  <c r="R144" i="75"/>
  <c r="R152" i="75"/>
  <c r="R160" i="75"/>
  <c r="R168" i="75"/>
  <c r="R176" i="75"/>
  <c r="R184" i="75"/>
  <c r="R192" i="75"/>
  <c r="R200" i="75"/>
  <c r="R208" i="75"/>
  <c r="R216" i="75"/>
  <c r="R224" i="75"/>
  <c r="R7" i="75"/>
  <c r="R11" i="75"/>
  <c r="R15" i="75"/>
  <c r="R23" i="75"/>
  <c r="R28" i="75"/>
  <c r="R30" i="75"/>
  <c r="D35" i="75"/>
  <c r="R45" i="75"/>
  <c r="R49" i="75"/>
  <c r="R57" i="75"/>
  <c r="R65" i="75"/>
  <c r="R73" i="75"/>
  <c r="R81" i="75"/>
  <c r="R89" i="75"/>
  <c r="R97" i="75"/>
  <c r="R105" i="75"/>
  <c r="R113" i="75"/>
  <c r="R121" i="75"/>
  <c r="R129" i="75"/>
  <c r="R137" i="75"/>
  <c r="R145" i="75"/>
  <c r="R153" i="75"/>
  <c r="R161" i="75"/>
  <c r="R169" i="75"/>
  <c r="R177" i="75"/>
  <c r="R185" i="75"/>
  <c r="R193" i="75"/>
  <c r="R201" i="75"/>
  <c r="R209" i="75"/>
  <c r="R217" i="75"/>
  <c r="R225" i="75"/>
  <c r="R6" i="75"/>
  <c r="R12" i="75"/>
  <c r="R17" i="75"/>
  <c r="R50" i="75"/>
  <c r="R58" i="75"/>
  <c r="R66" i="75"/>
  <c r="R74" i="75"/>
  <c r="R82" i="75"/>
  <c r="R90" i="75"/>
  <c r="R98" i="75"/>
  <c r="R106" i="75"/>
  <c r="R114" i="75"/>
  <c r="R122" i="75"/>
  <c r="R130" i="75"/>
  <c r="R138" i="75"/>
  <c r="R146" i="75"/>
  <c r="R154" i="75"/>
  <c r="R162" i="75"/>
  <c r="R170" i="75"/>
  <c r="R178" i="75"/>
  <c r="R186" i="75"/>
  <c r="R194" i="75"/>
  <c r="R202" i="75"/>
  <c r="R210" i="75"/>
  <c r="C27" i="50"/>
  <c r="C25" i="50"/>
  <c r="C26" i="50"/>
  <c r="E27" i="71"/>
  <c r="E26" i="71"/>
  <c r="E8" i="71"/>
  <c r="D27" i="71"/>
  <c r="D26" i="71"/>
  <c r="D23" i="71"/>
  <c r="D8" i="71"/>
  <c r="R204" i="73"/>
  <c r="R203" i="73"/>
  <c r="R153" i="73"/>
  <c r="R140" i="73"/>
  <c r="R97" i="73"/>
  <c r="R89" i="73"/>
  <c r="K40" i="73"/>
  <c r="I36" i="73"/>
  <c r="K35" i="73"/>
  <c r="I34" i="73"/>
  <c r="E25" i="71" s="1"/>
  <c r="K33" i="73"/>
  <c r="G32" i="73"/>
  <c r="K32" i="73" s="1"/>
  <c r="R31" i="73"/>
  <c r="K31" i="73"/>
  <c r="I30" i="73"/>
  <c r="E24" i="71" s="1"/>
  <c r="G30" i="73"/>
  <c r="K30" i="73" s="1"/>
  <c r="A30" i="73"/>
  <c r="A29" i="73"/>
  <c r="R23" i="73"/>
  <c r="G20" i="73"/>
  <c r="K20" i="73" s="1"/>
  <c r="K15" i="73"/>
  <c r="R14" i="73"/>
  <c r="K14" i="73"/>
  <c r="R10" i="73"/>
  <c r="G10" i="73"/>
  <c r="K10" i="73" s="1"/>
  <c r="C9" i="73"/>
  <c r="C10" i="73" s="1"/>
  <c r="C11" i="73" s="1"/>
  <c r="C14" i="73" s="1"/>
  <c r="C15" i="73" s="1"/>
  <c r="C16" i="73" s="1"/>
  <c r="C17" i="73" s="1"/>
  <c r="C19" i="73" s="1"/>
  <c r="C20" i="73" s="1"/>
  <c r="C21" i="73" s="1"/>
  <c r="C22" i="73" s="1"/>
  <c r="C23" i="73" s="1"/>
  <c r="C24" i="73" s="1"/>
  <c r="C25" i="73" s="1"/>
  <c r="C26" i="73" s="1"/>
  <c r="C27" i="73" s="1"/>
  <c r="C30" i="73" s="1"/>
  <c r="C31" i="73" s="1"/>
  <c r="C32" i="73" s="1"/>
  <c r="C33" i="73" s="1"/>
  <c r="C34" i="73" s="1"/>
  <c r="C35" i="73" s="1"/>
  <c r="C36" i="73" s="1"/>
  <c r="C38" i="73" s="1"/>
  <c r="C40" i="73" s="1"/>
  <c r="C43" i="73" s="1"/>
  <c r="C44" i="73" s="1"/>
  <c r="C45" i="73" s="1"/>
  <c r="C46" i="73" s="1"/>
  <c r="C47" i="73" s="1"/>
  <c r="C8" i="73"/>
  <c r="Q7" i="73"/>
  <c r="I7" i="73"/>
  <c r="I9" i="73" s="1"/>
  <c r="G7" i="73"/>
  <c r="Q6" i="73"/>
  <c r="R218" i="73" s="1"/>
  <c r="K6" i="73"/>
  <c r="R5" i="73" s="1"/>
  <c r="I6" i="73"/>
  <c r="K40" i="72"/>
  <c r="I34" i="72"/>
  <c r="K34" i="72" s="1"/>
  <c r="K33" i="72"/>
  <c r="G32" i="72"/>
  <c r="K32" i="72" s="1"/>
  <c r="K31" i="72"/>
  <c r="I30" i="72"/>
  <c r="D24" i="71" s="1"/>
  <c r="G30" i="72"/>
  <c r="A30" i="72"/>
  <c r="A29" i="72"/>
  <c r="G20" i="72"/>
  <c r="K20" i="72" s="1"/>
  <c r="K15" i="72"/>
  <c r="K14" i="72"/>
  <c r="G10" i="72"/>
  <c r="K10" i="72" s="1"/>
  <c r="C8" i="72"/>
  <c r="C9" i="72" s="1"/>
  <c r="C10" i="72" s="1"/>
  <c r="C11" i="72" s="1"/>
  <c r="C14" i="72" s="1"/>
  <c r="C15" i="72" s="1"/>
  <c r="C16" i="72" s="1"/>
  <c r="C17" i="72" s="1"/>
  <c r="C19" i="72" s="1"/>
  <c r="C20" i="72" s="1"/>
  <c r="C21" i="72" s="1"/>
  <c r="C22" i="72" s="1"/>
  <c r="C23" i="72" s="1"/>
  <c r="C24" i="72" s="1"/>
  <c r="C25" i="72" s="1"/>
  <c r="C26" i="72" s="1"/>
  <c r="C27" i="72" s="1"/>
  <c r="C30" i="72" s="1"/>
  <c r="C31" i="72" s="1"/>
  <c r="C32" i="72" s="1"/>
  <c r="C33" i="72" s="1"/>
  <c r="C34" i="72" s="1"/>
  <c r="C35" i="72" s="1"/>
  <c r="C36" i="72" s="1"/>
  <c r="C38" i="72" s="1"/>
  <c r="C40" i="72" s="1"/>
  <c r="C43" i="72" s="1"/>
  <c r="C44" i="72" s="1"/>
  <c r="C45" i="72" s="1"/>
  <c r="C46" i="72" s="1"/>
  <c r="C47" i="72" s="1"/>
  <c r="R7" i="72"/>
  <c r="Q7" i="72"/>
  <c r="I7" i="72"/>
  <c r="I9" i="72" s="1"/>
  <c r="G7" i="72"/>
  <c r="Q6" i="72"/>
  <c r="R219" i="72" s="1"/>
  <c r="K6" i="72"/>
  <c r="R5" i="72" s="1"/>
  <c r="I6" i="72"/>
  <c r="C26" i="71"/>
  <c r="C9" i="71"/>
  <c r="C8" i="71"/>
  <c r="R227" i="75" l="1"/>
  <c r="G16" i="75" s="1"/>
  <c r="G23" i="75" s="1"/>
  <c r="I20" i="73"/>
  <c r="I21" i="73" s="1"/>
  <c r="K34" i="73"/>
  <c r="R57" i="73"/>
  <c r="R116" i="73"/>
  <c r="R172" i="73"/>
  <c r="R18" i="73"/>
  <c r="D35" i="73"/>
  <c r="R67" i="73"/>
  <c r="R121" i="73"/>
  <c r="R180" i="73"/>
  <c r="R19" i="73"/>
  <c r="R75" i="73"/>
  <c r="R131" i="73"/>
  <c r="R185" i="73"/>
  <c r="R35" i="73"/>
  <c r="R76" i="73"/>
  <c r="R139" i="73"/>
  <c r="R195" i="73"/>
  <c r="R28" i="73"/>
  <c r="R46" i="73"/>
  <c r="R99" i="73"/>
  <c r="R161" i="73"/>
  <c r="R217" i="73"/>
  <c r="E23" i="71"/>
  <c r="R52" i="73"/>
  <c r="R108" i="73"/>
  <c r="R163" i="73"/>
  <c r="R225" i="73"/>
  <c r="D25" i="71"/>
  <c r="K30" i="72"/>
  <c r="I36" i="72"/>
  <c r="R226" i="77"/>
  <c r="G8" i="77" s="1"/>
  <c r="G9" i="77" s="1"/>
  <c r="G11" i="77" s="1"/>
  <c r="R227" i="77"/>
  <c r="G16" i="77" s="1"/>
  <c r="I24" i="77"/>
  <c r="R227" i="76"/>
  <c r="G16" i="76" s="1"/>
  <c r="R226" i="76"/>
  <c r="G8" i="76" s="1"/>
  <c r="I22" i="76"/>
  <c r="I24" i="75"/>
  <c r="R226" i="75"/>
  <c r="G8" i="75" s="1"/>
  <c r="K7" i="73"/>
  <c r="R11" i="73"/>
  <c r="R29" i="73"/>
  <c r="R13" i="73"/>
  <c r="R33" i="73"/>
  <c r="R43" i="73"/>
  <c r="R60" i="73"/>
  <c r="R83" i="73"/>
  <c r="R105" i="73"/>
  <c r="R124" i="73"/>
  <c r="R147" i="73"/>
  <c r="R169" i="73"/>
  <c r="R188" i="73"/>
  <c r="R211" i="73"/>
  <c r="R59" i="73"/>
  <c r="R81" i="73"/>
  <c r="R100" i="73"/>
  <c r="R123" i="73"/>
  <c r="R145" i="73"/>
  <c r="R164" i="73"/>
  <c r="R187" i="73"/>
  <c r="R209" i="73"/>
  <c r="R20" i="73"/>
  <c r="R45" i="73"/>
  <c r="R65" i="73"/>
  <c r="R84" i="73"/>
  <c r="R107" i="73"/>
  <c r="R129" i="73"/>
  <c r="R148" i="73"/>
  <c r="R171" i="73"/>
  <c r="R193" i="73"/>
  <c r="R212" i="73"/>
  <c r="R49" i="73"/>
  <c r="R68" i="73"/>
  <c r="R91" i="73"/>
  <c r="R113" i="73"/>
  <c r="R132" i="73"/>
  <c r="R155" i="73"/>
  <c r="R177" i="73"/>
  <c r="R196" i="73"/>
  <c r="R219" i="73"/>
  <c r="R9" i="73"/>
  <c r="R24" i="73"/>
  <c r="R30" i="73"/>
  <c r="R6" i="73"/>
  <c r="R15" i="73"/>
  <c r="R25" i="73"/>
  <c r="R51" i="73"/>
  <c r="R73" i="73"/>
  <c r="R92" i="73"/>
  <c r="R115" i="73"/>
  <c r="R137" i="73"/>
  <c r="R156" i="73"/>
  <c r="R179" i="73"/>
  <c r="R201" i="73"/>
  <c r="R220" i="73"/>
  <c r="I10" i="73"/>
  <c r="I11" i="73" s="1"/>
  <c r="I17" i="73"/>
  <c r="K36" i="73"/>
  <c r="R8" i="73"/>
  <c r="R16" i="73"/>
  <c r="G21" i="73"/>
  <c r="R22" i="73"/>
  <c r="R26" i="73"/>
  <c r="G36" i="73"/>
  <c r="R53" i="73"/>
  <c r="R61" i="73"/>
  <c r="R69" i="73"/>
  <c r="R77" i="73"/>
  <c r="R85" i="73"/>
  <c r="R93" i="73"/>
  <c r="R101" i="73"/>
  <c r="R109" i="73"/>
  <c r="R117" i="73"/>
  <c r="R125" i="73"/>
  <c r="R133" i="73"/>
  <c r="R141" i="73"/>
  <c r="R149" i="73"/>
  <c r="R157" i="73"/>
  <c r="R165" i="73"/>
  <c r="R173" i="73"/>
  <c r="R181" i="73"/>
  <c r="R189" i="73"/>
  <c r="R197" i="73"/>
  <c r="R205" i="73"/>
  <c r="R213" i="73"/>
  <c r="R221" i="73"/>
  <c r="R44" i="73"/>
  <c r="R54" i="73"/>
  <c r="R62" i="73"/>
  <c r="R70" i="73"/>
  <c r="R78" i="73"/>
  <c r="R86" i="73"/>
  <c r="R94" i="73"/>
  <c r="R102" i="73"/>
  <c r="R110" i="73"/>
  <c r="R118" i="73"/>
  <c r="R126" i="73"/>
  <c r="R134" i="73"/>
  <c r="R142" i="73"/>
  <c r="R150" i="73"/>
  <c r="R158" i="73"/>
  <c r="R166" i="73"/>
  <c r="R174" i="73"/>
  <c r="R182" i="73"/>
  <c r="R190" i="73"/>
  <c r="R198" i="73"/>
  <c r="R206" i="73"/>
  <c r="R214" i="73"/>
  <c r="R222" i="73"/>
  <c r="R7" i="73"/>
  <c r="R34" i="73"/>
  <c r="R41" i="73"/>
  <c r="R47" i="73"/>
  <c r="R55" i="73"/>
  <c r="R63" i="73"/>
  <c r="R71" i="73"/>
  <c r="R79" i="73"/>
  <c r="R87" i="73"/>
  <c r="R95" i="73"/>
  <c r="R103" i="73"/>
  <c r="R111" i="73"/>
  <c r="R119" i="73"/>
  <c r="R127" i="73"/>
  <c r="R135" i="73"/>
  <c r="R143" i="73"/>
  <c r="R151" i="73"/>
  <c r="R159" i="73"/>
  <c r="R167" i="73"/>
  <c r="R175" i="73"/>
  <c r="R183" i="73"/>
  <c r="R191" i="73"/>
  <c r="R199" i="73"/>
  <c r="R207" i="73"/>
  <c r="R215" i="73"/>
  <c r="R223" i="73"/>
  <c r="R21" i="73"/>
  <c r="R27" i="73"/>
  <c r="R32" i="73"/>
  <c r="R36" i="73"/>
  <c r="R42" i="73"/>
  <c r="R48" i="73"/>
  <c r="R56" i="73"/>
  <c r="R64" i="73"/>
  <c r="R72" i="73"/>
  <c r="R80" i="73"/>
  <c r="R88" i="73"/>
  <c r="R96" i="73"/>
  <c r="R104" i="73"/>
  <c r="R112" i="73"/>
  <c r="R120" i="73"/>
  <c r="R128" i="73"/>
  <c r="R136" i="73"/>
  <c r="R144" i="73"/>
  <c r="R152" i="73"/>
  <c r="R160" i="73"/>
  <c r="R168" i="73"/>
  <c r="R176" i="73"/>
  <c r="R184" i="73"/>
  <c r="R192" i="73"/>
  <c r="R200" i="73"/>
  <c r="R208" i="73"/>
  <c r="R216" i="73"/>
  <c r="R224" i="73"/>
  <c r="R12" i="73"/>
  <c r="R17" i="73"/>
  <c r="R50" i="73"/>
  <c r="R58" i="73"/>
  <c r="R66" i="73"/>
  <c r="R74" i="73"/>
  <c r="R82" i="73"/>
  <c r="R90" i="73"/>
  <c r="R98" i="73"/>
  <c r="R106" i="73"/>
  <c r="R114" i="73"/>
  <c r="R122" i="73"/>
  <c r="R130" i="73"/>
  <c r="R138" i="73"/>
  <c r="R146" i="73"/>
  <c r="R154" i="73"/>
  <c r="R162" i="73"/>
  <c r="R170" i="73"/>
  <c r="R178" i="73"/>
  <c r="R186" i="73"/>
  <c r="R194" i="73"/>
  <c r="R202" i="73"/>
  <c r="R210" i="73"/>
  <c r="K35" i="72"/>
  <c r="K36" i="72" s="1"/>
  <c r="I17" i="72"/>
  <c r="K7" i="72"/>
  <c r="R8" i="72"/>
  <c r="R16" i="72"/>
  <c r="G21" i="72"/>
  <c r="R22" i="72"/>
  <c r="R26" i="72"/>
  <c r="R46" i="72"/>
  <c r="R52" i="72"/>
  <c r="R60" i="72"/>
  <c r="R68" i="72"/>
  <c r="R76" i="72"/>
  <c r="R84" i="72"/>
  <c r="R92" i="72"/>
  <c r="R100" i="72"/>
  <c r="R108" i="72"/>
  <c r="R116" i="72"/>
  <c r="R124" i="72"/>
  <c r="R132" i="72"/>
  <c r="R140" i="72"/>
  <c r="R148" i="72"/>
  <c r="R156" i="72"/>
  <c r="R164" i="72"/>
  <c r="R172" i="72"/>
  <c r="R180" i="72"/>
  <c r="R188" i="72"/>
  <c r="R196" i="72"/>
  <c r="R204" i="72"/>
  <c r="R212" i="72"/>
  <c r="R220" i="72"/>
  <c r="R14" i="72"/>
  <c r="R19" i="72"/>
  <c r="R24" i="72"/>
  <c r="G36" i="72"/>
  <c r="R53" i="72"/>
  <c r="R61" i="72"/>
  <c r="R69" i="72"/>
  <c r="R77" i="72"/>
  <c r="R85" i="72"/>
  <c r="R93" i="72"/>
  <c r="R101" i="72"/>
  <c r="R109" i="72"/>
  <c r="R117" i="72"/>
  <c r="R125" i="72"/>
  <c r="R133" i="72"/>
  <c r="R141" i="72"/>
  <c r="R149" i="72"/>
  <c r="R157" i="72"/>
  <c r="R165" i="72"/>
  <c r="R173" i="72"/>
  <c r="R181" i="72"/>
  <c r="R189" i="72"/>
  <c r="R197" i="72"/>
  <c r="R205" i="72"/>
  <c r="R213" i="72"/>
  <c r="R221" i="72"/>
  <c r="R62" i="72"/>
  <c r="R21" i="72"/>
  <c r="R27" i="72"/>
  <c r="R32" i="72"/>
  <c r="R41" i="72"/>
  <c r="R47" i="72"/>
  <c r="R55" i="72"/>
  <c r="R63" i="72"/>
  <c r="R71" i="72"/>
  <c r="R79" i="72"/>
  <c r="R87" i="72"/>
  <c r="R95" i="72"/>
  <c r="R103" i="72"/>
  <c r="R111" i="72"/>
  <c r="R119" i="72"/>
  <c r="R127" i="72"/>
  <c r="R135" i="72"/>
  <c r="R143" i="72"/>
  <c r="R151" i="72"/>
  <c r="R159" i="72"/>
  <c r="R167" i="72"/>
  <c r="R175" i="72"/>
  <c r="R183" i="72"/>
  <c r="R191" i="72"/>
  <c r="R199" i="72"/>
  <c r="R207" i="72"/>
  <c r="R215" i="72"/>
  <c r="R223" i="72"/>
  <c r="R54" i="72"/>
  <c r="R102" i="72"/>
  <c r="R126" i="72"/>
  <c r="R158" i="72"/>
  <c r="R190" i="72"/>
  <c r="R222" i="72"/>
  <c r="I10" i="72"/>
  <c r="I11" i="72" s="1"/>
  <c r="R11" i="72"/>
  <c r="R15" i="72"/>
  <c r="I20" i="72"/>
  <c r="I21" i="72" s="1"/>
  <c r="R23" i="72"/>
  <c r="R28" i="72"/>
  <c r="R30" i="72"/>
  <c r="D35" i="72"/>
  <c r="R36" i="72"/>
  <c r="R42" i="72"/>
  <c r="R48" i="72"/>
  <c r="R56" i="72"/>
  <c r="R64" i="72"/>
  <c r="R72" i="72"/>
  <c r="R80" i="72"/>
  <c r="R88" i="72"/>
  <c r="R96" i="72"/>
  <c r="R104" i="72"/>
  <c r="R112" i="72"/>
  <c r="R120" i="72"/>
  <c r="R128" i="72"/>
  <c r="R136" i="72"/>
  <c r="R144" i="72"/>
  <c r="R152" i="72"/>
  <c r="R160" i="72"/>
  <c r="R168" i="72"/>
  <c r="R176" i="72"/>
  <c r="R184" i="72"/>
  <c r="R192" i="72"/>
  <c r="R200" i="72"/>
  <c r="R208" i="72"/>
  <c r="R216" i="72"/>
  <c r="R224" i="72"/>
  <c r="R86" i="72"/>
  <c r="R134" i="72"/>
  <c r="R182" i="72"/>
  <c r="R214" i="72"/>
  <c r="R6" i="72"/>
  <c r="R12" i="72"/>
  <c r="R17" i="72"/>
  <c r="R45" i="72"/>
  <c r="R49" i="72"/>
  <c r="R57" i="72"/>
  <c r="R65" i="72"/>
  <c r="R73" i="72"/>
  <c r="R81" i="72"/>
  <c r="R89" i="72"/>
  <c r="R97" i="72"/>
  <c r="R105" i="72"/>
  <c r="R113" i="72"/>
  <c r="R121" i="72"/>
  <c r="R129" i="72"/>
  <c r="R137" i="72"/>
  <c r="R145" i="72"/>
  <c r="R153" i="72"/>
  <c r="R161" i="72"/>
  <c r="R169" i="72"/>
  <c r="R177" i="72"/>
  <c r="R185" i="72"/>
  <c r="R193" i="72"/>
  <c r="R201" i="72"/>
  <c r="R209" i="72"/>
  <c r="R217" i="72"/>
  <c r="R225" i="72"/>
  <c r="R70" i="72"/>
  <c r="R94" i="72"/>
  <c r="R118" i="72"/>
  <c r="R142" i="72"/>
  <c r="R174" i="72"/>
  <c r="R206" i="72"/>
  <c r="R10" i="72"/>
  <c r="R13" i="72"/>
  <c r="R18" i="72"/>
  <c r="R20" i="72"/>
  <c r="R25" i="72"/>
  <c r="R29" i="72"/>
  <c r="R33" i="72"/>
  <c r="R50" i="72"/>
  <c r="R58" i="72"/>
  <c r="R66" i="72"/>
  <c r="R74" i="72"/>
  <c r="R82" i="72"/>
  <c r="R90" i="72"/>
  <c r="R98" i="72"/>
  <c r="R106" i="72"/>
  <c r="R114" i="72"/>
  <c r="R122" i="72"/>
  <c r="R130" i="72"/>
  <c r="R138" i="72"/>
  <c r="R146" i="72"/>
  <c r="R154" i="72"/>
  <c r="R162" i="72"/>
  <c r="R170" i="72"/>
  <c r="R178" i="72"/>
  <c r="R186" i="72"/>
  <c r="R194" i="72"/>
  <c r="R202" i="72"/>
  <c r="R210" i="72"/>
  <c r="R218" i="72"/>
  <c r="R34" i="72"/>
  <c r="R44" i="72"/>
  <c r="R78" i="72"/>
  <c r="R110" i="72"/>
  <c r="R150" i="72"/>
  <c r="R166" i="72"/>
  <c r="R198" i="72"/>
  <c r="R9" i="72"/>
  <c r="R31" i="72"/>
  <c r="R35" i="72"/>
  <c r="R43" i="72"/>
  <c r="R51" i="72"/>
  <c r="R59" i="72"/>
  <c r="R67" i="72"/>
  <c r="R75" i="72"/>
  <c r="R83" i="72"/>
  <c r="R91" i="72"/>
  <c r="R99" i="72"/>
  <c r="R107" i="72"/>
  <c r="R115" i="72"/>
  <c r="R123" i="72"/>
  <c r="R131" i="72"/>
  <c r="R139" i="72"/>
  <c r="R147" i="72"/>
  <c r="R155" i="72"/>
  <c r="R163" i="72"/>
  <c r="R171" i="72"/>
  <c r="R179" i="72"/>
  <c r="R187" i="72"/>
  <c r="R195" i="72"/>
  <c r="R203" i="72"/>
  <c r="R211" i="72"/>
  <c r="A4" i="71"/>
  <c r="A1" i="71"/>
  <c r="K16" i="75" l="1"/>
  <c r="I22" i="73"/>
  <c r="I24" i="73" s="1"/>
  <c r="K8" i="77"/>
  <c r="K9" i="77" s="1"/>
  <c r="K11" i="77" s="1"/>
  <c r="G23" i="77"/>
  <c r="G17" i="77"/>
  <c r="K16" i="77"/>
  <c r="I25" i="77"/>
  <c r="I38" i="77" s="1"/>
  <c r="G23" i="76"/>
  <c r="K16" i="76"/>
  <c r="I24" i="76"/>
  <c r="K8" i="76"/>
  <c r="K9" i="76" s="1"/>
  <c r="K11" i="76" s="1"/>
  <c r="G9" i="76"/>
  <c r="G11" i="76" s="1"/>
  <c r="K23" i="75"/>
  <c r="K8" i="75"/>
  <c r="K9" i="75" s="1"/>
  <c r="K11" i="75" s="1"/>
  <c r="G9" i="75"/>
  <c r="I25" i="75"/>
  <c r="I38" i="75" s="1"/>
  <c r="R226" i="73"/>
  <c r="G8" i="73" s="1"/>
  <c r="G9" i="73" s="1"/>
  <c r="G11" i="73" s="1"/>
  <c r="R227" i="73"/>
  <c r="G16" i="73" s="1"/>
  <c r="R226" i="72"/>
  <c r="G8" i="72" s="1"/>
  <c r="K8" i="72" s="1"/>
  <c r="K9" i="72" s="1"/>
  <c r="K11" i="72" s="1"/>
  <c r="I22" i="72"/>
  <c r="I24" i="72" s="1"/>
  <c r="R227" i="72"/>
  <c r="G16" i="72" s="1"/>
  <c r="K17" i="77" l="1"/>
  <c r="K19" i="77" s="1"/>
  <c r="K21" i="77" s="1"/>
  <c r="G22" i="77"/>
  <c r="K22" i="77" s="1"/>
  <c r="K23" i="77"/>
  <c r="G17" i="76"/>
  <c r="G22" i="76" s="1"/>
  <c r="K22" i="76" s="1"/>
  <c r="K23" i="76"/>
  <c r="I25" i="76"/>
  <c r="I38" i="76" s="1"/>
  <c r="G11" i="75"/>
  <c r="G17" i="75"/>
  <c r="K8" i="73"/>
  <c r="K9" i="73" s="1"/>
  <c r="K11" i="73" s="1"/>
  <c r="G23" i="73"/>
  <c r="G17" i="73"/>
  <c r="K16" i="73"/>
  <c r="I25" i="73"/>
  <c r="I38" i="73" s="1"/>
  <c r="G9" i="72"/>
  <c r="G11" i="72" s="1"/>
  <c r="I25" i="72"/>
  <c r="I38" i="72" s="1"/>
  <c r="K16" i="72"/>
  <c r="G23" i="72"/>
  <c r="G24" i="77" l="1"/>
  <c r="G25" i="77" s="1"/>
  <c r="G38" i="77" s="1"/>
  <c r="K17" i="76"/>
  <c r="K19" i="76" s="1"/>
  <c r="K21" i="76" s="1"/>
  <c r="G24" i="76"/>
  <c r="G25" i="76" s="1"/>
  <c r="G38" i="76" s="1"/>
  <c r="K17" i="75"/>
  <c r="K19" i="75" s="1"/>
  <c r="K21" i="75" s="1"/>
  <c r="G22" i="75"/>
  <c r="K23" i="73"/>
  <c r="K17" i="73"/>
  <c r="K19" i="73" s="1"/>
  <c r="K21" i="73" s="1"/>
  <c r="G22" i="73"/>
  <c r="K22" i="73" s="1"/>
  <c r="G17" i="72"/>
  <c r="G22" i="72" s="1"/>
  <c r="K22" i="72" s="1"/>
  <c r="K23" i="72"/>
  <c r="K24" i="77" l="1"/>
  <c r="K25" i="77" s="1"/>
  <c r="K27" i="77" s="1"/>
  <c r="G22" i="71" s="1"/>
  <c r="G28" i="71" s="1"/>
  <c r="K24" i="76"/>
  <c r="K25" i="76" s="1"/>
  <c r="K27" i="76" s="1"/>
  <c r="K22" i="75"/>
  <c r="G24" i="75"/>
  <c r="G24" i="73"/>
  <c r="K17" i="72"/>
  <c r="K19" i="72" s="1"/>
  <c r="K21" i="72" s="1"/>
  <c r="G24" i="72"/>
  <c r="K38" i="77" l="1"/>
  <c r="K43" i="77" s="1"/>
  <c r="G13" i="71" s="1"/>
  <c r="K44" i="77"/>
  <c r="K47" i="77" s="1"/>
  <c r="K46" i="77"/>
  <c r="G16" i="71" s="1"/>
  <c r="K45" i="77"/>
  <c r="G15" i="71" s="1"/>
  <c r="K45" i="76"/>
  <c r="F15" i="71" s="1"/>
  <c r="F22" i="71"/>
  <c r="F28" i="71" s="1"/>
  <c r="K38" i="76"/>
  <c r="K44" i="76"/>
  <c r="K46" i="76"/>
  <c r="F16" i="71" s="1"/>
  <c r="G25" i="75"/>
  <c r="G38" i="75" s="1"/>
  <c r="K24" i="75"/>
  <c r="K25" i="75" s="1"/>
  <c r="K27" i="75" s="1"/>
  <c r="G25" i="73"/>
  <c r="G38" i="73" s="1"/>
  <c r="K24" i="73"/>
  <c r="K25" i="73" s="1"/>
  <c r="K27" i="73" s="1"/>
  <c r="E22" i="71" s="1"/>
  <c r="E28" i="71" s="1"/>
  <c r="G25" i="72"/>
  <c r="G38" i="72" s="1"/>
  <c r="K24" i="72"/>
  <c r="K25" i="72" s="1"/>
  <c r="K27" i="72" s="1"/>
  <c r="D22" i="71" s="1"/>
  <c r="G14" i="71" l="1"/>
  <c r="G18" i="71"/>
  <c r="K43" i="76"/>
  <c r="F13" i="71" s="1"/>
  <c r="F18" i="71"/>
  <c r="K47" i="76"/>
  <c r="F14" i="71"/>
  <c r="K46" i="75"/>
  <c r="K45" i="75"/>
  <c r="K44" i="75"/>
  <c r="K47" i="75" s="1"/>
  <c r="K38" i="75"/>
  <c r="K43" i="75" s="1"/>
  <c r="C22" i="50"/>
  <c r="K45" i="73"/>
  <c r="E15" i="71" s="1"/>
  <c r="K44" i="73"/>
  <c r="K46" i="73"/>
  <c r="E16" i="71" s="1"/>
  <c r="K38" i="73"/>
  <c r="K46" i="72"/>
  <c r="D16" i="71" s="1"/>
  <c r="K45" i="72"/>
  <c r="D15" i="71" s="1"/>
  <c r="K44" i="72"/>
  <c r="K38" i="72"/>
  <c r="K43" i="73" l="1"/>
  <c r="E13" i="71" s="1"/>
  <c r="E18" i="71"/>
  <c r="K47" i="73"/>
  <c r="E14" i="71"/>
  <c r="K43" i="72"/>
  <c r="D13" i="71" s="1"/>
  <c r="D18" i="71"/>
  <c r="K47" i="72"/>
  <c r="D14" i="71"/>
  <c r="C27" i="71" l="1"/>
  <c r="K40" i="69" l="1"/>
  <c r="I34" i="69"/>
  <c r="K33" i="69"/>
  <c r="G32" i="69"/>
  <c r="K32" i="69" s="1"/>
  <c r="K31" i="69"/>
  <c r="I30" i="69"/>
  <c r="G30" i="69"/>
  <c r="A30" i="69"/>
  <c r="A29" i="69"/>
  <c r="G20" i="69"/>
  <c r="I20" i="69" s="1"/>
  <c r="I21" i="69" s="1"/>
  <c r="K15" i="69"/>
  <c r="K14" i="69"/>
  <c r="G10" i="69"/>
  <c r="K10" i="69" s="1"/>
  <c r="C8" i="69"/>
  <c r="C9" i="69" s="1"/>
  <c r="C10" i="69" s="1"/>
  <c r="C11" i="69" s="1"/>
  <c r="C14" i="69" s="1"/>
  <c r="C15" i="69" s="1"/>
  <c r="C16" i="69" s="1"/>
  <c r="C17" i="69" s="1"/>
  <c r="C19" i="69" s="1"/>
  <c r="C20" i="69" s="1"/>
  <c r="C21" i="69" s="1"/>
  <c r="C22" i="69" s="1"/>
  <c r="C23" i="69" s="1"/>
  <c r="C24" i="69" s="1"/>
  <c r="C25" i="69" s="1"/>
  <c r="C26" i="69" s="1"/>
  <c r="C27" i="69" s="1"/>
  <c r="C30" i="69" s="1"/>
  <c r="C31" i="69" s="1"/>
  <c r="C32" i="69" s="1"/>
  <c r="C33" i="69" s="1"/>
  <c r="C34" i="69" s="1"/>
  <c r="C35" i="69" s="1"/>
  <c r="C36" i="69" s="1"/>
  <c r="C38" i="69" s="1"/>
  <c r="C40" i="69" s="1"/>
  <c r="C43" i="69" s="1"/>
  <c r="C44" i="69" s="1"/>
  <c r="C45" i="69" s="1"/>
  <c r="C46" i="69" s="1"/>
  <c r="C47" i="69" s="1"/>
  <c r="Q7" i="69"/>
  <c r="I7" i="69"/>
  <c r="I9" i="69" s="1"/>
  <c r="I17" i="69" s="1"/>
  <c r="G7" i="69"/>
  <c r="Q6" i="69"/>
  <c r="R224" i="69" s="1"/>
  <c r="K6" i="69"/>
  <c r="R5" i="69" s="1"/>
  <c r="I6" i="69"/>
  <c r="K30" i="69" l="1"/>
  <c r="C23" i="71"/>
  <c r="I36" i="69"/>
  <c r="C24" i="71"/>
  <c r="K34" i="69"/>
  <c r="C25" i="71"/>
  <c r="R73" i="69"/>
  <c r="R82" i="69"/>
  <c r="R137" i="69"/>
  <c r="R146" i="69"/>
  <c r="R17" i="69"/>
  <c r="R202" i="69"/>
  <c r="R217" i="69"/>
  <c r="R34" i="69"/>
  <c r="K35" i="69"/>
  <c r="G21" i="69"/>
  <c r="R50" i="69"/>
  <c r="R105" i="69"/>
  <c r="R169" i="69"/>
  <c r="R26" i="69"/>
  <c r="R57" i="69"/>
  <c r="R114" i="69"/>
  <c r="R178" i="69"/>
  <c r="R10" i="69"/>
  <c r="R59" i="69"/>
  <c r="R121" i="69"/>
  <c r="R185" i="69"/>
  <c r="R29" i="69"/>
  <c r="R66" i="69"/>
  <c r="R130" i="69"/>
  <c r="R194" i="69"/>
  <c r="R89" i="69"/>
  <c r="R153" i="69"/>
  <c r="R225" i="69"/>
  <c r="K20" i="69"/>
  <c r="R45" i="69"/>
  <c r="R98" i="69"/>
  <c r="R162" i="69"/>
  <c r="R18" i="69"/>
  <c r="R43" i="69"/>
  <c r="R58" i="69"/>
  <c r="R74" i="69"/>
  <c r="R90" i="69"/>
  <c r="R106" i="69"/>
  <c r="R122" i="69"/>
  <c r="R138" i="69"/>
  <c r="R154" i="69"/>
  <c r="R170" i="69"/>
  <c r="R186" i="69"/>
  <c r="R203" i="69"/>
  <c r="R75" i="69"/>
  <c r="R91" i="69"/>
  <c r="R107" i="69"/>
  <c r="R123" i="69"/>
  <c r="R155" i="69"/>
  <c r="R171" i="69"/>
  <c r="R187" i="69"/>
  <c r="R209" i="69"/>
  <c r="R12" i="69"/>
  <c r="R33" i="69"/>
  <c r="R46" i="69"/>
  <c r="R60" i="69"/>
  <c r="R76" i="69"/>
  <c r="R92" i="69"/>
  <c r="R108" i="69"/>
  <c r="R124" i="69"/>
  <c r="R140" i="69"/>
  <c r="R156" i="69"/>
  <c r="R172" i="69"/>
  <c r="R188" i="69"/>
  <c r="R210" i="69"/>
  <c r="K7" i="69"/>
  <c r="R139" i="69"/>
  <c r="R13" i="69"/>
  <c r="R20" i="69"/>
  <c r="R49" i="69"/>
  <c r="R65" i="69"/>
  <c r="R81" i="69"/>
  <c r="R97" i="69"/>
  <c r="R113" i="69"/>
  <c r="R129" i="69"/>
  <c r="R145" i="69"/>
  <c r="R161" i="69"/>
  <c r="R177" i="69"/>
  <c r="R193" i="69"/>
  <c r="R211" i="69"/>
  <c r="R8" i="69"/>
  <c r="R22" i="69"/>
  <c r="R51" i="69"/>
  <c r="R67" i="69"/>
  <c r="R83" i="69"/>
  <c r="R99" i="69"/>
  <c r="R115" i="69"/>
  <c r="R131" i="69"/>
  <c r="R147" i="69"/>
  <c r="R163" i="69"/>
  <c r="R179" i="69"/>
  <c r="R195" i="69"/>
  <c r="R218" i="69"/>
  <c r="R6" i="69"/>
  <c r="R16" i="69"/>
  <c r="R25" i="69"/>
  <c r="R31" i="69"/>
  <c r="R35" i="69"/>
  <c r="R52" i="69"/>
  <c r="R68" i="69"/>
  <c r="R84" i="69"/>
  <c r="R100" i="69"/>
  <c r="R116" i="69"/>
  <c r="R132" i="69"/>
  <c r="R148" i="69"/>
  <c r="R164" i="69"/>
  <c r="R180" i="69"/>
  <c r="R201" i="69"/>
  <c r="R219" i="69"/>
  <c r="I10" i="69"/>
  <c r="I11" i="69" s="1"/>
  <c r="I22" i="69"/>
  <c r="R196" i="69"/>
  <c r="R204" i="69"/>
  <c r="R212" i="69"/>
  <c r="R220" i="69"/>
  <c r="R9" i="69"/>
  <c r="R14" i="69"/>
  <c r="R19" i="69"/>
  <c r="R24" i="69"/>
  <c r="R53" i="69"/>
  <c r="R61" i="69"/>
  <c r="R69" i="69"/>
  <c r="R77" i="69"/>
  <c r="R85" i="69"/>
  <c r="R93" i="69"/>
  <c r="R101" i="69"/>
  <c r="R109" i="69"/>
  <c r="R117" i="69"/>
  <c r="R125" i="69"/>
  <c r="R133" i="69"/>
  <c r="R141" i="69"/>
  <c r="R149" i="69"/>
  <c r="R157" i="69"/>
  <c r="R165" i="69"/>
  <c r="R173" i="69"/>
  <c r="R181" i="69"/>
  <c r="R189" i="69"/>
  <c r="R197" i="69"/>
  <c r="R205" i="69"/>
  <c r="R213" i="69"/>
  <c r="R221" i="69"/>
  <c r="R44" i="69"/>
  <c r="R54" i="69"/>
  <c r="R62" i="69"/>
  <c r="R70" i="69"/>
  <c r="R78" i="69"/>
  <c r="R86" i="69"/>
  <c r="R94" i="69"/>
  <c r="R102" i="69"/>
  <c r="R110" i="69"/>
  <c r="R118" i="69"/>
  <c r="R126" i="69"/>
  <c r="R134" i="69"/>
  <c r="R142" i="69"/>
  <c r="R150" i="69"/>
  <c r="R158" i="69"/>
  <c r="R166" i="69"/>
  <c r="R174" i="69"/>
  <c r="R182" i="69"/>
  <c r="R190" i="69"/>
  <c r="R198" i="69"/>
  <c r="R206" i="69"/>
  <c r="R214" i="69"/>
  <c r="R222" i="69"/>
  <c r="R21" i="69"/>
  <c r="R27" i="69"/>
  <c r="R32" i="69"/>
  <c r="R41" i="69"/>
  <c r="R47" i="69"/>
  <c r="R55" i="69"/>
  <c r="R63" i="69"/>
  <c r="R71" i="69"/>
  <c r="R79" i="69"/>
  <c r="R87" i="69"/>
  <c r="R95" i="69"/>
  <c r="R103" i="69"/>
  <c r="R111" i="69"/>
  <c r="R119" i="69"/>
  <c r="R127" i="69"/>
  <c r="R135" i="69"/>
  <c r="R143" i="69"/>
  <c r="R151" i="69"/>
  <c r="R159" i="69"/>
  <c r="R167" i="69"/>
  <c r="R175" i="69"/>
  <c r="R183" i="69"/>
  <c r="R191" i="69"/>
  <c r="R199" i="69"/>
  <c r="R207" i="69"/>
  <c r="R215" i="69"/>
  <c r="R223" i="69"/>
  <c r="R7" i="69"/>
  <c r="R11" i="69"/>
  <c r="R15" i="69"/>
  <c r="R23" i="69"/>
  <c r="R28" i="69"/>
  <c r="R30" i="69"/>
  <c r="D35" i="69"/>
  <c r="R36" i="69"/>
  <c r="R42" i="69"/>
  <c r="R48" i="69"/>
  <c r="R56" i="69"/>
  <c r="R64" i="69"/>
  <c r="R72" i="69"/>
  <c r="R80" i="69"/>
  <c r="R88" i="69"/>
  <c r="R96" i="69"/>
  <c r="R104" i="69"/>
  <c r="R112" i="69"/>
  <c r="R120" i="69"/>
  <c r="R128" i="69"/>
  <c r="R136" i="69"/>
  <c r="R144" i="69"/>
  <c r="R152" i="69"/>
  <c r="R160" i="69"/>
  <c r="R168" i="69"/>
  <c r="R176" i="69"/>
  <c r="R184" i="69"/>
  <c r="R192" i="69"/>
  <c r="R200" i="69"/>
  <c r="R208" i="69"/>
  <c r="R216" i="69"/>
  <c r="K36" i="69" l="1"/>
  <c r="R227" i="69"/>
  <c r="G16" i="69" s="1"/>
  <c r="G23" i="69" s="1"/>
  <c r="G36" i="69"/>
  <c r="I24" i="69"/>
  <c r="R226" i="69"/>
  <c r="G8" i="69" s="1"/>
  <c r="K16" i="69" l="1"/>
  <c r="G9" i="69"/>
  <c r="K8" i="69"/>
  <c r="K9" i="69" s="1"/>
  <c r="K11" i="69" s="1"/>
  <c r="I25" i="69"/>
  <c r="I38" i="69" s="1"/>
  <c r="K23" i="69"/>
  <c r="B27" i="50"/>
  <c r="D27" i="50"/>
  <c r="E27" i="50"/>
  <c r="E26" i="50"/>
  <c r="E23" i="50"/>
  <c r="D26" i="50"/>
  <c r="B26" i="50"/>
  <c r="E24" i="50"/>
  <c r="D25" i="50" l="1"/>
  <c r="G11" i="69"/>
  <c r="G17" i="69"/>
  <c r="D23" i="50"/>
  <c r="D24" i="50"/>
  <c r="E25" i="50"/>
  <c r="B27" i="71"/>
  <c r="B26" i="71"/>
  <c r="G22" i="69" l="1"/>
  <c r="K17" i="69"/>
  <c r="K19" i="69" s="1"/>
  <c r="K21" i="69" s="1"/>
  <c r="B23" i="50"/>
  <c r="B24" i="50"/>
  <c r="K22" i="69" l="1"/>
  <c r="G24" i="69"/>
  <c r="G25" i="69" l="1"/>
  <c r="G38" i="69" s="1"/>
  <c r="K24" i="69"/>
  <c r="K25" i="69" s="1"/>
  <c r="K27" i="69" s="1"/>
  <c r="C22" i="71" s="1"/>
  <c r="C28" i="71" s="1"/>
  <c r="K45" i="69" l="1"/>
  <c r="C15" i="71" s="1"/>
  <c r="K46" i="69"/>
  <c r="C16" i="71" s="1"/>
  <c r="K44" i="69"/>
  <c r="K38" i="69"/>
  <c r="K47" i="69" l="1"/>
  <c r="C14" i="71"/>
  <c r="K43" i="69"/>
  <c r="C13" i="71" s="1"/>
  <c r="C18" i="71"/>
  <c r="D22" i="50"/>
  <c r="D28" i="50" s="1"/>
  <c r="D28" i="71"/>
  <c r="D14" i="50" l="1"/>
  <c r="D15" i="50"/>
  <c r="D16" i="50"/>
  <c r="D18" i="50"/>
  <c r="D13" i="50" l="1"/>
  <c r="E22" i="50"/>
  <c r="E28" i="50" s="1"/>
  <c r="E15" i="50" l="1"/>
  <c r="E16" i="50"/>
  <c r="E14" i="50"/>
  <c r="E18" i="50"/>
  <c r="E13" i="50" l="1"/>
  <c r="B31" i="71" l="1"/>
  <c r="B31" i="50"/>
  <c r="A1" i="50" l="1"/>
  <c r="A4" i="50" l="1"/>
  <c r="B25" i="50" l="1"/>
  <c r="B22" i="71" l="1"/>
  <c r="B25" i="71" l="1"/>
  <c r="B28" i="71" s="1"/>
  <c r="B22" i="50"/>
  <c r="B28" i="50" s="1"/>
  <c r="B14" i="50" l="1"/>
  <c r="B18" i="71"/>
  <c r="B18" i="50"/>
  <c r="H36" i="90" l="1"/>
  <c r="B14" i="71"/>
  <c r="H37" i="90"/>
  <c r="H38" i="90"/>
  <c r="B15" i="50"/>
  <c r="B15" i="71"/>
  <c r="B13" i="50"/>
  <c r="B13" i="71"/>
  <c r="B16" i="50"/>
  <c r="B16" i="71"/>
  <c r="H35" i="90" l="1"/>
  <c r="P35" i="90" s="1"/>
  <c r="P36" i="90"/>
  <c r="Q36" i="90"/>
  <c r="P38" i="90"/>
  <c r="Q38" i="90"/>
  <c r="P37" i="90"/>
  <c r="Q37" i="90"/>
  <c r="N36" i="90"/>
  <c r="O36" i="90"/>
  <c r="N38" i="90"/>
  <c r="O38" i="90"/>
  <c r="N37" i="90"/>
  <c r="O37" i="90"/>
  <c r="L36" i="90"/>
  <c r="M36" i="90"/>
  <c r="L38" i="90"/>
  <c r="M38" i="90"/>
  <c r="L37" i="90"/>
  <c r="M37" i="90"/>
  <c r="T6" i="97"/>
  <c r="L6" i="97"/>
  <c r="L9" i="97" s="1"/>
  <c r="P6" i="97"/>
  <c r="P7" i="97" s="1"/>
  <c r="H10" i="97" a="1"/>
  <c r="H10" i="97" s="1"/>
  <c r="H11" i="97" s="1"/>
  <c r="L8" i="97"/>
  <c r="K8" i="97" s="1"/>
  <c r="X6" i="94"/>
  <c r="X8" i="94" s="1"/>
  <c r="H39" i="92"/>
  <c r="H28" i="92"/>
  <c r="J44" i="89"/>
  <c r="H40" i="92"/>
  <c r="H29" i="92"/>
  <c r="H42" i="92"/>
  <c r="H31" i="92"/>
  <c r="H30" i="92"/>
  <c r="H41" i="92"/>
  <c r="C23" i="50"/>
  <c r="C28" i="50" s="1"/>
  <c r="H7" i="92" l="1"/>
  <c r="H8" i="96"/>
  <c r="J39" i="102" s="1"/>
  <c r="H9" i="96"/>
  <c r="H7" i="96"/>
  <c r="H6" i="96"/>
  <c r="J37" i="102" s="1"/>
  <c r="H9" i="92"/>
  <c r="I9" i="92" s="1"/>
  <c r="H8" i="92"/>
  <c r="L35" i="90"/>
  <c r="N35" i="90"/>
  <c r="J35" i="90"/>
  <c r="I35" i="90"/>
  <c r="H50" i="92" s="1"/>
  <c r="T50" i="92" s="1"/>
  <c r="V50" i="92" s="1"/>
  <c r="M35" i="90"/>
  <c r="O35" i="90"/>
  <c r="Q35" i="90"/>
  <c r="K35" i="90"/>
  <c r="H72" i="92" s="1"/>
  <c r="T72" i="92" s="1"/>
  <c r="K6" i="97"/>
  <c r="L7" i="97"/>
  <c r="K7" i="97" s="1"/>
  <c r="K9" i="97"/>
  <c r="O7" i="97"/>
  <c r="U6" i="97"/>
  <c r="V6" i="97"/>
  <c r="P8" i="97"/>
  <c r="P9" i="97"/>
  <c r="S6" i="97"/>
  <c r="T7" i="97"/>
  <c r="Q6" i="97"/>
  <c r="R6" i="97"/>
  <c r="I8" i="97"/>
  <c r="I6" i="97"/>
  <c r="H12" i="97"/>
  <c r="H13" i="97"/>
  <c r="I7" i="97"/>
  <c r="T9" i="97"/>
  <c r="I9" i="97"/>
  <c r="T8" i="97"/>
  <c r="O6" i="97"/>
  <c r="M6" i="97"/>
  <c r="L10" i="97"/>
  <c r="L11" i="97" s="1"/>
  <c r="N6" i="97"/>
  <c r="X7" i="94"/>
  <c r="W7" i="94" s="1"/>
  <c r="W6" i="94"/>
  <c r="X9" i="94"/>
  <c r="W9" i="94" s="1"/>
  <c r="Y6" i="94"/>
  <c r="Z6" i="94"/>
  <c r="X10" i="94"/>
  <c r="X11" i="94" s="1"/>
  <c r="Y7" i="94"/>
  <c r="Z7" i="94"/>
  <c r="W8" i="94"/>
  <c r="I8" i="96"/>
  <c r="H61" i="92"/>
  <c r="T61" i="92" s="1"/>
  <c r="Q17" i="89"/>
  <c r="I36" i="90"/>
  <c r="K36" i="90"/>
  <c r="J36" i="90"/>
  <c r="I37" i="90"/>
  <c r="J37" i="90"/>
  <c r="K37" i="90"/>
  <c r="H40" i="90"/>
  <c r="H41" i="90" s="1"/>
  <c r="I38" i="90"/>
  <c r="K38" i="90"/>
  <c r="J38" i="90"/>
  <c r="C18" i="50"/>
  <c r="C13" i="50"/>
  <c r="I7" i="96" l="1"/>
  <c r="J38" i="102"/>
  <c r="I9" i="96"/>
  <c r="J40" i="102"/>
  <c r="L6" i="92"/>
  <c r="H10" i="92" a="1"/>
  <c r="H10" i="92" s="1"/>
  <c r="H11" i="92" s="1"/>
  <c r="T6" i="92"/>
  <c r="P6" i="92"/>
  <c r="P8" i="92" s="1"/>
  <c r="L6" i="96"/>
  <c r="P6" i="96"/>
  <c r="H10" i="96" a="1"/>
  <c r="H10" i="96" s="1"/>
  <c r="H11" i="96" s="1"/>
  <c r="T6" i="96"/>
  <c r="T9" i="96"/>
  <c r="S9" i="96" s="1"/>
  <c r="I6" i="96"/>
  <c r="I10" i="96" s="1" a="1"/>
  <c r="I10" i="96" s="1"/>
  <c r="I11" i="96" s="1"/>
  <c r="I6" i="92"/>
  <c r="P7" i="92"/>
  <c r="Q40" i="90"/>
  <c r="Q42" i="90" s="1"/>
  <c r="O40" i="90"/>
  <c r="O41" i="90" s="1"/>
  <c r="P40" i="90"/>
  <c r="P41" i="90" s="1"/>
  <c r="M40" i="90"/>
  <c r="M41" i="90" s="1"/>
  <c r="N40" i="90"/>
  <c r="K40" i="90"/>
  <c r="K42" i="90" s="1"/>
  <c r="H51" i="92"/>
  <c r="T51" i="92" s="1"/>
  <c r="V51" i="92" s="1"/>
  <c r="H53" i="92"/>
  <c r="T53" i="92" s="1"/>
  <c r="H52" i="92"/>
  <c r="T52" i="92" s="1"/>
  <c r="K10" i="97" a="1"/>
  <c r="K10" i="97" s="1"/>
  <c r="K11" i="97" s="1"/>
  <c r="K12" i="97" s="1"/>
  <c r="M7" i="97"/>
  <c r="N7" i="97"/>
  <c r="N8" i="97"/>
  <c r="M8" i="97"/>
  <c r="Q7" i="97"/>
  <c r="I10" i="97" a="1"/>
  <c r="I10" i="97" s="1"/>
  <c r="I11" i="97" s="1"/>
  <c r="L13" i="97"/>
  <c r="L12" i="97"/>
  <c r="R9" i="97"/>
  <c r="Q9" i="97"/>
  <c r="O9" i="97"/>
  <c r="R7" i="97"/>
  <c r="V9" i="97"/>
  <c r="U9" i="97"/>
  <c r="S9" i="97"/>
  <c r="Q8" i="97"/>
  <c r="R8" i="97"/>
  <c r="O8" i="97"/>
  <c r="K13" i="97"/>
  <c r="P10" i="97" a="1"/>
  <c r="P10" i="97" s="1"/>
  <c r="P11" i="97" s="1"/>
  <c r="M9" i="97"/>
  <c r="V7" i="97"/>
  <c r="U7" i="97"/>
  <c r="S7" i="97"/>
  <c r="U8" i="97"/>
  <c r="V8" i="97"/>
  <c r="S8" i="97"/>
  <c r="J10" i="97" a="1"/>
  <c r="J10" i="97" s="1"/>
  <c r="J11" i="97" s="1"/>
  <c r="T10" i="97" a="1"/>
  <c r="T10" i="97" s="1"/>
  <c r="T11" i="97" s="1"/>
  <c r="N9" i="97"/>
  <c r="W10" i="94"/>
  <c r="W11" i="94" s="1"/>
  <c r="W12" i="94" s="1"/>
  <c r="Y8" i="94"/>
  <c r="Z8" i="94"/>
  <c r="J10" i="96" a="1"/>
  <c r="J10" i="96" s="1"/>
  <c r="J11" i="96" s="1"/>
  <c r="V9" i="96"/>
  <c r="U9" i="96"/>
  <c r="P50" i="92"/>
  <c r="L50" i="92"/>
  <c r="K50" i="92" s="1"/>
  <c r="L72" i="92"/>
  <c r="K72" i="92" s="1"/>
  <c r="P72" i="92"/>
  <c r="H63" i="92"/>
  <c r="T63" i="92" s="1"/>
  <c r="H62" i="92"/>
  <c r="T62" i="92" s="1"/>
  <c r="T17" i="92"/>
  <c r="H73" i="92"/>
  <c r="T73" i="92" s="1"/>
  <c r="L61" i="92"/>
  <c r="K61" i="92" s="1"/>
  <c r="H64" i="92"/>
  <c r="T64" i="92" s="1"/>
  <c r="H75" i="92"/>
  <c r="T75" i="92" s="1"/>
  <c r="P61" i="92"/>
  <c r="H74" i="92"/>
  <c r="T74" i="92" s="1"/>
  <c r="V72" i="92"/>
  <c r="V61" i="92"/>
  <c r="J10" i="92" a="1"/>
  <c r="J10" i="92" s="1"/>
  <c r="J11" i="92" s="1"/>
  <c r="I7" i="92"/>
  <c r="I8" i="92"/>
  <c r="J40" i="90"/>
  <c r="I40" i="90"/>
  <c r="I42" i="90" s="1"/>
  <c r="H42" i="90"/>
  <c r="C11" i="80"/>
  <c r="E11" i="80"/>
  <c r="G11" i="80"/>
  <c r="C16" i="80"/>
  <c r="G16" i="80" s="1"/>
  <c r="E16" i="80"/>
  <c r="E20" i="80" s="1"/>
  <c r="C17" i="80"/>
  <c r="E17" i="80"/>
  <c r="G17" i="80"/>
  <c r="H17" i="80"/>
  <c r="C20" i="80"/>
  <c r="C26" i="80"/>
  <c r="E26" i="80"/>
  <c r="E30" i="80" s="1"/>
  <c r="G26" i="80"/>
  <c r="C27" i="80"/>
  <c r="E27" i="80" s="1"/>
  <c r="O6" i="92" l="1"/>
  <c r="Q6" i="92"/>
  <c r="R6" i="92"/>
  <c r="P9" i="92"/>
  <c r="P10" i="92" s="1" a="1"/>
  <c r="P10" i="92" s="1"/>
  <c r="P11" i="92" s="1"/>
  <c r="C11" i="104"/>
  <c r="D11" i="104" s="1"/>
  <c r="C11" i="103"/>
  <c r="D11" i="103" s="1"/>
  <c r="C8" i="104"/>
  <c r="D8" i="104" s="1"/>
  <c r="C8" i="103"/>
  <c r="D8" i="103" s="1"/>
  <c r="J42" i="102"/>
  <c r="W13" i="94"/>
  <c r="J25" i="96"/>
  <c r="T9" i="92"/>
  <c r="V6" i="92"/>
  <c r="T8" i="92"/>
  <c r="T7" i="92"/>
  <c r="U6" i="92"/>
  <c r="P7" i="96"/>
  <c r="R6" i="96"/>
  <c r="Q6" i="96"/>
  <c r="K6" i="96"/>
  <c r="M6" i="96"/>
  <c r="N6" i="96"/>
  <c r="L7" i="96"/>
  <c r="P9" i="96"/>
  <c r="T8" i="96"/>
  <c r="U6" i="96"/>
  <c r="T7" i="96"/>
  <c r="S6" i="96"/>
  <c r="V6" i="96"/>
  <c r="H12" i="96"/>
  <c r="H13" i="96"/>
  <c r="H12" i="92"/>
  <c r="H13" i="92"/>
  <c r="N6" i="92"/>
  <c r="M6" i="92"/>
  <c r="K6" i="92"/>
  <c r="L8" i="92"/>
  <c r="L9" i="92"/>
  <c r="L8" i="96"/>
  <c r="S6" i="92"/>
  <c r="L9" i="96"/>
  <c r="P8" i="96"/>
  <c r="L7" i="92"/>
  <c r="O6" i="96"/>
  <c r="O42" i="90"/>
  <c r="Q41" i="90"/>
  <c r="P42" i="90"/>
  <c r="K41" i="90"/>
  <c r="M42" i="90"/>
  <c r="L40" i="90"/>
  <c r="L41" i="90" s="1"/>
  <c r="N41" i="90"/>
  <c r="N42" i="90"/>
  <c r="K14" i="97"/>
  <c r="J41" i="90"/>
  <c r="J42" i="90"/>
  <c r="I41" i="90"/>
  <c r="U17" i="92"/>
  <c r="J13" i="92"/>
  <c r="O10" i="97" a="1"/>
  <c r="O10" i="97" s="1"/>
  <c r="O11" i="97" s="1"/>
  <c r="O12" i="97" s="1"/>
  <c r="S10" i="97" a="1"/>
  <c r="S10" i="97" s="1"/>
  <c r="S11" i="97" s="1"/>
  <c r="S13" i="97" s="1"/>
  <c r="T14" i="97"/>
  <c r="T13" i="97"/>
  <c r="T12" i="97"/>
  <c r="P13" i="97"/>
  <c r="P12" i="97"/>
  <c r="P14" i="97"/>
  <c r="I13" i="97"/>
  <c r="I12" i="97"/>
  <c r="J13" i="97"/>
  <c r="J12" i="97"/>
  <c r="O14" i="97"/>
  <c r="I18" i="97"/>
  <c r="P17" i="97"/>
  <c r="P18" i="97" s="1"/>
  <c r="O18" i="97" s="1"/>
  <c r="T17" i="97"/>
  <c r="T19" i="97" s="1"/>
  <c r="H21" i="97" a="1"/>
  <c r="H21" i="97" s="1"/>
  <c r="H22" i="97" s="1"/>
  <c r="L17" i="97"/>
  <c r="L18" i="97" s="1"/>
  <c r="L14" i="97"/>
  <c r="Y9" i="94"/>
  <c r="Z9" i="94"/>
  <c r="M72" i="92"/>
  <c r="M50" i="92"/>
  <c r="T19" i="92"/>
  <c r="U19" i="92" s="1"/>
  <c r="N50" i="92"/>
  <c r="J12" i="96"/>
  <c r="J13" i="96"/>
  <c r="L52" i="92"/>
  <c r="K52" i="92" s="1"/>
  <c r="N72" i="92"/>
  <c r="L75" i="92"/>
  <c r="K75" i="92" s="1"/>
  <c r="P63" i="92"/>
  <c r="P52" i="92"/>
  <c r="P75" i="92"/>
  <c r="I13" i="96"/>
  <c r="I12" i="96"/>
  <c r="P64" i="92"/>
  <c r="P62" i="92"/>
  <c r="T18" i="92"/>
  <c r="U18" i="92" s="1"/>
  <c r="P51" i="92"/>
  <c r="L51" i="92"/>
  <c r="K51" i="92" s="1"/>
  <c r="P73" i="92"/>
  <c r="L53" i="92"/>
  <c r="K53" i="92" s="1"/>
  <c r="M61" i="92"/>
  <c r="L73" i="92"/>
  <c r="K73" i="92" s="1"/>
  <c r="L62" i="92"/>
  <c r="K62" i="92" s="1"/>
  <c r="L63" i="92"/>
  <c r="K63" i="92" s="1"/>
  <c r="T20" i="92"/>
  <c r="U20" i="92" s="1"/>
  <c r="P17" i="92"/>
  <c r="P19" i="92" s="1"/>
  <c r="L64" i="92"/>
  <c r="K64" i="92" s="1"/>
  <c r="M17" i="92"/>
  <c r="P53" i="92"/>
  <c r="L74" i="92"/>
  <c r="M74" i="92" s="1"/>
  <c r="N61" i="92"/>
  <c r="P74" i="92"/>
  <c r="U50" i="92"/>
  <c r="U61" i="92"/>
  <c r="R72" i="92"/>
  <c r="Q72" i="92"/>
  <c r="V64" i="92"/>
  <c r="V75" i="92"/>
  <c r="R50" i="92"/>
  <c r="Q50" i="92"/>
  <c r="V62" i="92"/>
  <c r="V73" i="92"/>
  <c r="V74" i="92"/>
  <c r="V63" i="92"/>
  <c r="U72" i="92"/>
  <c r="T28" i="92"/>
  <c r="T39" i="92"/>
  <c r="V17" i="92"/>
  <c r="S17" i="92"/>
  <c r="J12" i="92"/>
  <c r="I10" i="92" a="1"/>
  <c r="I10" i="92" s="1"/>
  <c r="I11" i="92" s="1"/>
  <c r="R8" i="92"/>
  <c r="Q8" i="92"/>
  <c r="O8" i="92"/>
  <c r="R9" i="92"/>
  <c r="Q9" i="92"/>
  <c r="O9" i="92"/>
  <c r="R7" i="92"/>
  <c r="Q7" i="92"/>
  <c r="O7" i="92"/>
  <c r="H21" i="92" a="1"/>
  <c r="H21" i="92" s="1"/>
  <c r="H22" i="92" s="1"/>
  <c r="G20" i="80"/>
  <c r="H16" i="80"/>
  <c r="H20" i="80" s="1"/>
  <c r="C21" i="80" s="1"/>
  <c r="H26" i="80"/>
  <c r="C30" i="80"/>
  <c r="G27" i="80"/>
  <c r="H27" i="80" s="1"/>
  <c r="P13" i="92" l="1"/>
  <c r="P12" i="92"/>
  <c r="P14" i="92"/>
  <c r="L10" i="96"/>
  <c r="L11" i="96" s="1"/>
  <c r="H20" i="96"/>
  <c r="H19" i="96"/>
  <c r="H18" i="96"/>
  <c r="H17" i="96"/>
  <c r="T10" i="92" a="1"/>
  <c r="T10" i="92" s="1"/>
  <c r="T11" i="92" s="1"/>
  <c r="T14" i="92" s="1"/>
  <c r="Q17" i="102"/>
  <c r="J44" i="102"/>
  <c r="J43" i="102"/>
  <c r="C5" i="104"/>
  <c r="C5" i="103"/>
  <c r="L13" i="96"/>
  <c r="L14" i="96"/>
  <c r="L12" i="96"/>
  <c r="T12" i="92"/>
  <c r="T13" i="92"/>
  <c r="R8" i="96"/>
  <c r="Q8" i="96"/>
  <c r="O8" i="96"/>
  <c r="N8" i="96"/>
  <c r="M8" i="96"/>
  <c r="K8" i="96"/>
  <c r="S8" i="96"/>
  <c r="V8" i="96"/>
  <c r="U8" i="96"/>
  <c r="H25" i="92"/>
  <c r="N9" i="92"/>
  <c r="K9" i="92"/>
  <c r="M9" i="92"/>
  <c r="O9" i="96"/>
  <c r="R9" i="96"/>
  <c r="Q9" i="96"/>
  <c r="N7" i="92"/>
  <c r="K7" i="92"/>
  <c r="M7" i="92"/>
  <c r="L10" i="92"/>
  <c r="L11" i="92" s="1"/>
  <c r="M7" i="96"/>
  <c r="N7" i="96"/>
  <c r="K7" i="96"/>
  <c r="S7" i="92"/>
  <c r="U7" i="92"/>
  <c r="V7" i="92"/>
  <c r="P10" i="96" a="1"/>
  <c r="P10" i="96" s="1"/>
  <c r="P11" i="96" s="1"/>
  <c r="O7" i="96"/>
  <c r="R7" i="96"/>
  <c r="Q7" i="96"/>
  <c r="M8" i="92"/>
  <c r="N8" i="92"/>
  <c r="K8" i="92"/>
  <c r="S8" i="92"/>
  <c r="V8" i="92"/>
  <c r="U8" i="92"/>
  <c r="M9" i="96"/>
  <c r="N9" i="96"/>
  <c r="K9" i="96"/>
  <c r="S7" i="96"/>
  <c r="S10" i="96" s="1" a="1"/>
  <c r="S10" i="96" s="1"/>
  <c r="S11" i="96" s="1"/>
  <c r="U7" i="96"/>
  <c r="V7" i="96"/>
  <c r="T10" i="96" a="1"/>
  <c r="T10" i="96" s="1"/>
  <c r="T11" i="96" s="1"/>
  <c r="U9" i="92"/>
  <c r="V9" i="92"/>
  <c r="S9" i="92"/>
  <c r="L42" i="90"/>
  <c r="O13" i="97"/>
  <c r="I13" i="92"/>
  <c r="S12" i="97"/>
  <c r="L19" i="97"/>
  <c r="K19" i="97" s="1"/>
  <c r="P19" i="97"/>
  <c r="R19" i="97" s="1"/>
  <c r="S17" i="97"/>
  <c r="I19" i="97"/>
  <c r="K17" i="97"/>
  <c r="S14" i="97"/>
  <c r="I20" i="97"/>
  <c r="V19" i="97"/>
  <c r="U19" i="97"/>
  <c r="S19" i="97"/>
  <c r="N18" i="97"/>
  <c r="M18" i="97"/>
  <c r="K18" i="97"/>
  <c r="R18" i="97"/>
  <c r="Q18" i="97"/>
  <c r="R17" i="97"/>
  <c r="Q17" i="97"/>
  <c r="L20" i="97"/>
  <c r="V17" i="97"/>
  <c r="U17" i="97"/>
  <c r="I17" i="97"/>
  <c r="T20" i="97"/>
  <c r="H24" i="97"/>
  <c r="H23" i="97"/>
  <c r="H25" i="97"/>
  <c r="N19" i="97"/>
  <c r="M19" i="97"/>
  <c r="N17" i="97"/>
  <c r="M17" i="97"/>
  <c r="T18" i="97"/>
  <c r="P20" i="97"/>
  <c r="O17" i="97"/>
  <c r="M75" i="92"/>
  <c r="M52" i="92"/>
  <c r="N52" i="92"/>
  <c r="Q17" i="92"/>
  <c r="R17" i="92"/>
  <c r="I20" i="92"/>
  <c r="I19" i="92"/>
  <c r="M63" i="92"/>
  <c r="N63" i="92"/>
  <c r="I17" i="92"/>
  <c r="M73" i="92"/>
  <c r="N73" i="92"/>
  <c r="N74" i="92"/>
  <c r="K74" i="92"/>
  <c r="M51" i="92"/>
  <c r="N51" i="92"/>
  <c r="P20" i="92"/>
  <c r="Q20" i="92" s="1"/>
  <c r="K18" i="92"/>
  <c r="P18" i="92"/>
  <c r="Q18" i="92" s="1"/>
  <c r="M20" i="92"/>
  <c r="N17" i="92"/>
  <c r="M53" i="92"/>
  <c r="K19" i="92"/>
  <c r="T42" i="92"/>
  <c r="M62" i="92"/>
  <c r="N62" i="92"/>
  <c r="M64" i="92"/>
  <c r="T41" i="92"/>
  <c r="T40" i="92"/>
  <c r="T31" i="92"/>
  <c r="T30" i="92"/>
  <c r="T29" i="92"/>
  <c r="R61" i="92"/>
  <c r="Q61" i="92"/>
  <c r="P39" i="92"/>
  <c r="R39" i="92" s="1"/>
  <c r="V28" i="92"/>
  <c r="P28" i="92"/>
  <c r="P31" i="92" s="1"/>
  <c r="O31" i="92" s="1"/>
  <c r="V53" i="92"/>
  <c r="V52" i="92"/>
  <c r="L28" i="92"/>
  <c r="N28" i="92" s="1"/>
  <c r="T76" i="92" a="1"/>
  <c r="T76" i="92" s="1"/>
  <c r="T77" i="92" s="1"/>
  <c r="P54" i="92" a="1"/>
  <c r="P54" i="92" s="1"/>
  <c r="P55" i="92" s="1"/>
  <c r="T65" i="92" a="1"/>
  <c r="T65" i="92" s="1"/>
  <c r="T66" i="92" s="1"/>
  <c r="Q53" i="92"/>
  <c r="R53" i="92"/>
  <c r="U63" i="92"/>
  <c r="Q51" i="92"/>
  <c r="R51" i="92"/>
  <c r="R52" i="92"/>
  <c r="Q52" i="92"/>
  <c r="U52" i="92"/>
  <c r="U73" i="92"/>
  <c r="U75" i="92"/>
  <c r="U74" i="92"/>
  <c r="U62" i="92"/>
  <c r="U64" i="92"/>
  <c r="U51" i="92"/>
  <c r="H43" i="92" a="1"/>
  <c r="H43" i="92" s="1"/>
  <c r="H44" i="92" s="1"/>
  <c r="H47" i="92" s="1"/>
  <c r="J39" i="92"/>
  <c r="L39" i="92"/>
  <c r="K39" i="92" s="1"/>
  <c r="H32" i="92" a="1"/>
  <c r="H32" i="92" s="1"/>
  <c r="H33" i="92" s="1"/>
  <c r="J28" i="92"/>
  <c r="V19" i="92"/>
  <c r="V18" i="92"/>
  <c r="Q19" i="92"/>
  <c r="R19" i="92"/>
  <c r="V20" i="92"/>
  <c r="S19" i="92"/>
  <c r="S20" i="92"/>
  <c r="S18" i="92"/>
  <c r="T21" i="92" a="1"/>
  <c r="T21" i="92" s="1"/>
  <c r="T22" i="92" s="1"/>
  <c r="T24" i="92" s="1"/>
  <c r="I12" i="92"/>
  <c r="O10" i="92" a="1"/>
  <c r="O10" i="92" s="1"/>
  <c r="O11" i="92" s="1"/>
  <c r="H24" i="92"/>
  <c r="O17" i="92"/>
  <c r="H23" i="92"/>
  <c r="I18" i="92"/>
  <c r="H30" i="80"/>
  <c r="C31" i="80" s="1"/>
  <c r="G30" i="80"/>
  <c r="C7" i="101" l="1"/>
  <c r="C7" i="100"/>
  <c r="C6" i="101"/>
  <c r="C6" i="100"/>
  <c r="K37" i="102"/>
  <c r="B10" i="101"/>
  <c r="B10" i="100"/>
  <c r="L17" i="96"/>
  <c r="H21" i="96" a="1"/>
  <c r="H21" i="96" s="1"/>
  <c r="H22" i="96" s="1"/>
  <c r="T17" i="96"/>
  <c r="S17" i="96"/>
  <c r="K17" i="96"/>
  <c r="I17" i="96"/>
  <c r="P17" i="96"/>
  <c r="P19" i="96" s="1"/>
  <c r="O19" i="96" s="1"/>
  <c r="C12" i="101" s="1"/>
  <c r="O17" i="96"/>
  <c r="K38" i="102"/>
  <c r="B11" i="101"/>
  <c r="B11" i="100"/>
  <c r="I18" i="96"/>
  <c r="L18" i="96"/>
  <c r="T18" i="96"/>
  <c r="S18" i="96"/>
  <c r="K18" i="96"/>
  <c r="C11" i="100" s="1"/>
  <c r="K39" i="102"/>
  <c r="B12" i="101"/>
  <c r="B12" i="100"/>
  <c r="T19" i="96"/>
  <c r="S19" i="96"/>
  <c r="I19" i="96"/>
  <c r="L19" i="96"/>
  <c r="K19" i="96"/>
  <c r="C12" i="100" s="1"/>
  <c r="K40" i="102"/>
  <c r="B13" i="101"/>
  <c r="B13" i="100"/>
  <c r="I20" i="96"/>
  <c r="L20" i="96"/>
  <c r="T20" i="96"/>
  <c r="P20" i="96"/>
  <c r="O20" i="96" s="1"/>
  <c r="C13" i="101" s="1"/>
  <c r="S20" i="96"/>
  <c r="K20" i="96"/>
  <c r="C13" i="100" s="1"/>
  <c r="C17" i="103"/>
  <c r="D5" i="103"/>
  <c r="D17" i="103" s="1"/>
  <c r="C17" i="104"/>
  <c r="D5" i="104"/>
  <c r="D17" i="104" s="1"/>
  <c r="S12" i="96"/>
  <c r="S14" i="96"/>
  <c r="S13" i="96"/>
  <c r="T13" i="96"/>
  <c r="T14" i="96"/>
  <c r="T12" i="96"/>
  <c r="P13" i="96"/>
  <c r="P12" i="96"/>
  <c r="P14" i="96"/>
  <c r="S10" i="92" a="1"/>
  <c r="S10" i="92" s="1"/>
  <c r="S11" i="92" s="1"/>
  <c r="L12" i="92"/>
  <c r="L13" i="92"/>
  <c r="L14" i="92"/>
  <c r="K10" i="96" a="1"/>
  <c r="K10" i="96" s="1"/>
  <c r="K11" i="96" s="1"/>
  <c r="K10" i="92" a="1"/>
  <c r="K10" i="92" s="1"/>
  <c r="K11" i="92" s="1"/>
  <c r="O10" i="96" a="1"/>
  <c r="O10" i="96" s="1"/>
  <c r="O11" i="96" s="1"/>
  <c r="H36" i="92"/>
  <c r="O13" i="92"/>
  <c r="Q19" i="97"/>
  <c r="O19" i="97"/>
  <c r="P21" i="97" a="1"/>
  <c r="P21" i="97" s="1"/>
  <c r="P22" i="97" s="1"/>
  <c r="P25" i="97" s="1"/>
  <c r="T21" i="97" a="1"/>
  <c r="T21" i="97" s="1"/>
  <c r="T22" i="97" s="1"/>
  <c r="T23" i="97" s="1"/>
  <c r="J21" i="97" a="1"/>
  <c r="J21" i="97" s="1"/>
  <c r="J22" i="97" s="1"/>
  <c r="J25" i="97" s="1"/>
  <c r="I21" i="97" a="1"/>
  <c r="I21" i="97" s="1"/>
  <c r="I22" i="97" s="1"/>
  <c r="N20" i="97"/>
  <c r="M20" i="97"/>
  <c r="K20" i="97"/>
  <c r="K21" i="97" s="1" a="1"/>
  <c r="K21" i="97" s="1"/>
  <c r="K22" i="97" s="1"/>
  <c r="R20" i="97"/>
  <c r="Q20" i="97"/>
  <c r="O20" i="97"/>
  <c r="V20" i="97"/>
  <c r="U20" i="97"/>
  <c r="S20" i="97"/>
  <c r="V18" i="97"/>
  <c r="U18" i="97"/>
  <c r="S18" i="97"/>
  <c r="L21" i="97" a="1"/>
  <c r="L21" i="97" s="1"/>
  <c r="L22" i="97" s="1"/>
  <c r="X13" i="94"/>
  <c r="X12" i="94"/>
  <c r="I21" i="92" a="1"/>
  <c r="I21" i="92" s="1"/>
  <c r="I22" i="92" s="1"/>
  <c r="J21" i="92" a="1"/>
  <c r="J21" i="92" s="1"/>
  <c r="J22" i="92" s="1"/>
  <c r="N20" i="92"/>
  <c r="K20" i="92"/>
  <c r="R18" i="92"/>
  <c r="R20" i="92"/>
  <c r="M18" i="92"/>
  <c r="N18" i="92"/>
  <c r="P21" i="92" a="1"/>
  <c r="P21" i="92" s="1"/>
  <c r="P22" i="92" s="1"/>
  <c r="P24" i="92" s="1"/>
  <c r="L21" i="92" a="1"/>
  <c r="L21" i="92" s="1"/>
  <c r="L22" i="92" s="1"/>
  <c r="L25" i="92" s="1"/>
  <c r="M19" i="92"/>
  <c r="N19" i="92"/>
  <c r="L31" i="92"/>
  <c r="L30" i="92"/>
  <c r="L42" i="92"/>
  <c r="L41" i="92"/>
  <c r="L40" i="92"/>
  <c r="S39" i="92"/>
  <c r="V42" i="92"/>
  <c r="P42" i="92"/>
  <c r="O42" i="92" s="1"/>
  <c r="O39" i="92"/>
  <c r="P40" i="92"/>
  <c r="O40" i="92" s="1"/>
  <c r="Q39" i="92"/>
  <c r="P41" i="92"/>
  <c r="O41" i="92" s="1"/>
  <c r="S41" i="92"/>
  <c r="U41" i="92"/>
  <c r="V41" i="92"/>
  <c r="V39" i="92"/>
  <c r="U39" i="92"/>
  <c r="P30" i="92"/>
  <c r="Q30" i="92" s="1"/>
  <c r="S28" i="92"/>
  <c r="O28" i="92"/>
  <c r="P29" i="92"/>
  <c r="O29" i="92" s="1"/>
  <c r="T54" i="92" a="1"/>
  <c r="T54" i="92" s="1"/>
  <c r="T55" i="92" s="1"/>
  <c r="T58" i="92" s="1"/>
  <c r="U53" i="92"/>
  <c r="V31" i="92"/>
  <c r="M28" i="92"/>
  <c r="K28" i="92"/>
  <c r="L29" i="92"/>
  <c r="N29" i="92" s="1"/>
  <c r="U28" i="92"/>
  <c r="U29" i="92"/>
  <c r="S30" i="92"/>
  <c r="R28" i="92"/>
  <c r="Q28" i="92"/>
  <c r="J40" i="92"/>
  <c r="I40" i="92" s="1"/>
  <c r="T78" i="92"/>
  <c r="T80" i="92"/>
  <c r="T79" i="92"/>
  <c r="T69" i="92"/>
  <c r="T67" i="92"/>
  <c r="T68" i="92"/>
  <c r="P58" i="92"/>
  <c r="P56" i="92"/>
  <c r="P57" i="92"/>
  <c r="H46" i="92"/>
  <c r="R64" i="92"/>
  <c r="Q64" i="92"/>
  <c r="S51" i="92"/>
  <c r="O51" i="92"/>
  <c r="J51" i="92"/>
  <c r="O75" i="92"/>
  <c r="S75" i="92"/>
  <c r="J75" i="92"/>
  <c r="I75" i="92" s="1"/>
  <c r="R63" i="92"/>
  <c r="Q63" i="92"/>
  <c r="R62" i="92"/>
  <c r="Q62" i="92"/>
  <c r="P65" i="92" a="1"/>
  <c r="P65" i="92" s="1"/>
  <c r="P66" i="92" s="1"/>
  <c r="O73" i="92"/>
  <c r="S73" i="92"/>
  <c r="J73" i="92"/>
  <c r="I73" i="92" s="1"/>
  <c r="J62" i="92"/>
  <c r="O62" i="92"/>
  <c r="S62" i="92"/>
  <c r="Q75" i="92"/>
  <c r="R75" i="92"/>
  <c r="O52" i="92"/>
  <c r="S52" i="92"/>
  <c r="J52" i="92"/>
  <c r="O50" i="92"/>
  <c r="S50" i="92"/>
  <c r="J50" i="92"/>
  <c r="I50" i="92" s="1"/>
  <c r="H54" i="92" a="1"/>
  <c r="H54" i="92" s="1"/>
  <c r="H55" i="92" s="1"/>
  <c r="H58" i="92" s="1"/>
  <c r="S74" i="92"/>
  <c r="J74" i="92"/>
  <c r="I74" i="92" s="1"/>
  <c r="O74" i="92"/>
  <c r="S53" i="92"/>
  <c r="O53" i="92"/>
  <c r="J53" i="92"/>
  <c r="N75" i="92" s="1"/>
  <c r="Q73" i="92"/>
  <c r="R73" i="92"/>
  <c r="P76" i="92" a="1"/>
  <c r="P76" i="92" s="1"/>
  <c r="P77" i="92" s="1"/>
  <c r="S72" i="92"/>
  <c r="J72" i="92"/>
  <c r="O72" i="92"/>
  <c r="H76" i="92" a="1"/>
  <c r="H76" i="92" s="1"/>
  <c r="H77" i="92" s="1"/>
  <c r="H80" i="92" s="1"/>
  <c r="J63" i="92"/>
  <c r="S63" i="92"/>
  <c r="O63" i="92"/>
  <c r="I39" i="92"/>
  <c r="R74" i="92"/>
  <c r="Q74" i="92"/>
  <c r="H45" i="92"/>
  <c r="S64" i="92"/>
  <c r="J64" i="92"/>
  <c r="O64" i="92"/>
  <c r="J61" i="92"/>
  <c r="I61" i="92" s="1"/>
  <c r="H65" i="92" a="1"/>
  <c r="H65" i="92" s="1"/>
  <c r="H66" i="92" s="1"/>
  <c r="H69" i="92" s="1"/>
  <c r="S61" i="92"/>
  <c r="O61" i="92"/>
  <c r="M39" i="92"/>
  <c r="N39" i="92"/>
  <c r="Q31" i="92"/>
  <c r="R31" i="92"/>
  <c r="J42" i="92"/>
  <c r="N64" i="92" s="1"/>
  <c r="J41" i="92"/>
  <c r="J31" i="92"/>
  <c r="N53" i="92" s="1"/>
  <c r="I28" i="92"/>
  <c r="J29" i="92"/>
  <c r="J30" i="92"/>
  <c r="H34" i="92"/>
  <c r="H35" i="92"/>
  <c r="S21" i="92" a="1"/>
  <c r="S21" i="92" s="1"/>
  <c r="S22" i="92" s="1"/>
  <c r="T23" i="92"/>
  <c r="T25" i="92"/>
  <c r="O12" i="92"/>
  <c r="O14" i="92"/>
  <c r="O18" i="92"/>
  <c r="O20" i="92"/>
  <c r="O19" i="92"/>
  <c r="P18" i="96" l="1"/>
  <c r="O18" i="96" s="1"/>
  <c r="C11" i="101" s="1"/>
  <c r="I24" i="97"/>
  <c r="E11" i="103"/>
  <c r="K21" i="92" a="1"/>
  <c r="K21" i="92" s="1"/>
  <c r="K22" i="92" s="1"/>
  <c r="C8" i="101"/>
  <c r="C8" i="100"/>
  <c r="D13" i="101"/>
  <c r="E13" i="101" s="1"/>
  <c r="Q20" i="96"/>
  <c r="R20" i="96"/>
  <c r="U20" i="96"/>
  <c r="V20" i="96"/>
  <c r="D13" i="100"/>
  <c r="E13" i="100" s="1"/>
  <c r="N20" i="96"/>
  <c r="M20" i="96"/>
  <c r="P21" i="96" a="1"/>
  <c r="P21" i="96" s="1"/>
  <c r="P22" i="96" s="1"/>
  <c r="D12" i="101"/>
  <c r="E12" i="101" s="1"/>
  <c r="R19" i="96"/>
  <c r="Q19" i="96"/>
  <c r="D12" i="100"/>
  <c r="E12" i="100" s="1"/>
  <c r="M19" i="96"/>
  <c r="N19" i="96"/>
  <c r="U19" i="96"/>
  <c r="V19" i="96"/>
  <c r="D11" i="101"/>
  <c r="E11" i="101" s="1"/>
  <c r="Q18" i="96"/>
  <c r="R18" i="96"/>
  <c r="V18" i="96"/>
  <c r="U18" i="96"/>
  <c r="D11" i="100"/>
  <c r="E11" i="100" s="1"/>
  <c r="M18" i="96"/>
  <c r="N18" i="96"/>
  <c r="C10" i="101"/>
  <c r="O21" i="96" a="1"/>
  <c r="O21" i="96" s="1"/>
  <c r="O22" i="96" s="1"/>
  <c r="D10" i="101"/>
  <c r="E10" i="101" s="1"/>
  <c r="R17" i="96"/>
  <c r="Q17" i="96"/>
  <c r="I21" i="96" a="1"/>
  <c r="I21" i="96" s="1"/>
  <c r="I22" i="96" s="1"/>
  <c r="C10" i="100"/>
  <c r="K21" i="96" a="1"/>
  <c r="K21" i="96" s="1"/>
  <c r="K22" i="96" s="1"/>
  <c r="S21" i="96" a="1"/>
  <c r="S21" i="96" s="1"/>
  <c r="S22" i="96" s="1"/>
  <c r="V17" i="96"/>
  <c r="U17" i="96"/>
  <c r="T21" i="96" a="1"/>
  <c r="T21" i="96" s="1"/>
  <c r="T22" i="96" s="1"/>
  <c r="H23" i="96"/>
  <c r="H24" i="96"/>
  <c r="H25" i="96"/>
  <c r="D10" i="100"/>
  <c r="E10" i="100" s="1"/>
  <c r="M17" i="96"/>
  <c r="N17" i="96"/>
  <c r="L21" i="96" a="1"/>
  <c r="L21" i="96" s="1"/>
  <c r="L22" i="96" s="1"/>
  <c r="K42" i="102"/>
  <c r="G5" i="103"/>
  <c r="F5" i="103"/>
  <c r="K24" i="92"/>
  <c r="K25" i="92"/>
  <c r="O13" i="96"/>
  <c r="O12" i="96"/>
  <c r="O14" i="96"/>
  <c r="K13" i="92"/>
  <c r="K14" i="92"/>
  <c r="K12" i="92"/>
  <c r="K12" i="96"/>
  <c r="K13" i="96"/>
  <c r="K14" i="96"/>
  <c r="S13" i="92"/>
  <c r="S12" i="92"/>
  <c r="S14" i="92"/>
  <c r="J25" i="92"/>
  <c r="I25" i="92"/>
  <c r="O21" i="97" a="1"/>
  <c r="O21" i="97" s="1"/>
  <c r="O22" i="97" s="1"/>
  <c r="P23" i="97"/>
  <c r="P24" i="97"/>
  <c r="T24" i="97"/>
  <c r="T25" i="97"/>
  <c r="J24" i="97"/>
  <c r="J23" i="97"/>
  <c r="I23" i="97"/>
  <c r="I25" i="97"/>
  <c r="S21" i="97" a="1"/>
  <c r="S21" i="97" s="1"/>
  <c r="S22" i="97" s="1"/>
  <c r="S25" i="97" s="1"/>
  <c r="I23" i="92"/>
  <c r="L24" i="97"/>
  <c r="L23" i="97"/>
  <c r="L25" i="97"/>
  <c r="K25" i="97"/>
  <c r="K24" i="97"/>
  <c r="K23" i="97"/>
  <c r="I24" i="92"/>
  <c r="L24" i="92"/>
  <c r="L23" i="92"/>
  <c r="J23" i="92"/>
  <c r="J24" i="92"/>
  <c r="R42" i="92"/>
  <c r="Q42" i="92"/>
  <c r="Q40" i="92"/>
  <c r="R40" i="92"/>
  <c r="S42" i="92"/>
  <c r="U42" i="92"/>
  <c r="O43" i="92" a="1"/>
  <c r="O43" i="92" s="1"/>
  <c r="O44" i="92" s="1"/>
  <c r="O47" i="92" s="1"/>
  <c r="P43" i="92" a="1"/>
  <c r="P43" i="92" s="1"/>
  <c r="P44" i="92" s="1"/>
  <c r="P47" i="92" s="1"/>
  <c r="R41" i="92"/>
  <c r="Q41" i="92"/>
  <c r="O30" i="92"/>
  <c r="O32" i="92" s="1" a="1"/>
  <c r="O32" i="92" s="1"/>
  <c r="O33" i="92" s="1"/>
  <c r="R30" i="92"/>
  <c r="N40" i="92"/>
  <c r="Q29" i="92"/>
  <c r="P32" i="92" a="1"/>
  <c r="P32" i="92" s="1"/>
  <c r="P33" i="92" s="1"/>
  <c r="P36" i="92" s="1"/>
  <c r="R29" i="92"/>
  <c r="V40" i="92"/>
  <c r="T43" i="92" a="1"/>
  <c r="T43" i="92" s="1"/>
  <c r="T44" i="92" s="1"/>
  <c r="U40" i="92"/>
  <c r="S40" i="92"/>
  <c r="T57" i="92"/>
  <c r="T56" i="92"/>
  <c r="N30" i="92"/>
  <c r="U31" i="92"/>
  <c r="S31" i="92"/>
  <c r="M29" i="92"/>
  <c r="K29" i="92"/>
  <c r="U30" i="92"/>
  <c r="V29" i="92"/>
  <c r="S29" i="92"/>
  <c r="V30" i="92"/>
  <c r="T32" i="92" a="1"/>
  <c r="T32" i="92" s="1"/>
  <c r="T33" i="92" s="1"/>
  <c r="S23" i="92"/>
  <c r="S24" i="92"/>
  <c r="P80" i="92"/>
  <c r="P78" i="92"/>
  <c r="P79" i="92"/>
  <c r="P68" i="92"/>
  <c r="P69" i="92"/>
  <c r="P67" i="92"/>
  <c r="M41" i="92"/>
  <c r="S54" i="92" a="1"/>
  <c r="S54" i="92" s="1"/>
  <c r="S55" i="92" s="1"/>
  <c r="I63" i="92"/>
  <c r="I62" i="92"/>
  <c r="O76" i="92" a="1"/>
  <c r="O76" i="92" s="1"/>
  <c r="O77" i="92" s="1"/>
  <c r="S76" i="92" a="1"/>
  <c r="S76" i="92" s="1"/>
  <c r="S77" i="92" s="1"/>
  <c r="S65" i="92" a="1"/>
  <c r="S65" i="92" s="1"/>
  <c r="S66" i="92" s="1"/>
  <c r="M40" i="92"/>
  <c r="J76" i="92" a="1"/>
  <c r="J76" i="92" s="1"/>
  <c r="J77" i="92" s="1"/>
  <c r="K40" i="92"/>
  <c r="I64" i="92"/>
  <c r="O65" i="92" a="1"/>
  <c r="O65" i="92" s="1"/>
  <c r="O66" i="92" s="1"/>
  <c r="I72" i="92"/>
  <c r="I76" i="92" s="1" a="1"/>
  <c r="I76" i="92" s="1"/>
  <c r="I77" i="92" s="1"/>
  <c r="I80" i="92" s="1"/>
  <c r="I41" i="92"/>
  <c r="O54" i="92" a="1"/>
  <c r="O54" i="92" s="1"/>
  <c r="O55" i="92" s="1"/>
  <c r="I53" i="92"/>
  <c r="I51" i="92"/>
  <c r="H56" i="92"/>
  <c r="H57" i="92"/>
  <c r="I42" i="92"/>
  <c r="H68" i="92"/>
  <c r="H67" i="92"/>
  <c r="J65" i="92" a="1"/>
  <c r="J65" i="92" s="1"/>
  <c r="J66" i="92" s="1"/>
  <c r="J54" i="92" a="1"/>
  <c r="J54" i="92" s="1"/>
  <c r="J55" i="92" s="1"/>
  <c r="I52" i="92"/>
  <c r="H78" i="92"/>
  <c r="H79" i="92"/>
  <c r="I29" i="92"/>
  <c r="J32" i="92" a="1"/>
  <c r="J32" i="92" s="1"/>
  <c r="J33" i="92" s="1"/>
  <c r="J36" i="92" s="1"/>
  <c r="J43" i="92" a="1"/>
  <c r="J43" i="92" s="1"/>
  <c r="J44" i="92" s="1"/>
  <c r="I31" i="92"/>
  <c r="I30" i="92"/>
  <c r="S25" i="92"/>
  <c r="P25" i="92"/>
  <c r="P23" i="92"/>
  <c r="O21" i="92" a="1"/>
  <c r="O21" i="92" s="1"/>
  <c r="K23" i="92"/>
  <c r="O25" i="97" l="1"/>
  <c r="G11" i="103"/>
  <c r="F11" i="103"/>
  <c r="K44" i="102"/>
  <c r="K43" i="102"/>
  <c r="L24" i="96"/>
  <c r="L23" i="96"/>
  <c r="L25" i="96"/>
  <c r="T24" i="96"/>
  <c r="T23" i="96"/>
  <c r="T25" i="96"/>
  <c r="S24" i="96"/>
  <c r="S23" i="96"/>
  <c r="S25" i="96"/>
  <c r="E8" i="103"/>
  <c r="K24" i="96"/>
  <c r="K23" i="96"/>
  <c r="K25" i="96"/>
  <c r="I24" i="96"/>
  <c r="I23" i="96"/>
  <c r="I25" i="96"/>
  <c r="E8" i="104"/>
  <c r="O23" i="96"/>
  <c r="O24" i="96"/>
  <c r="O25" i="96"/>
  <c r="P23" i="96"/>
  <c r="P24" i="96"/>
  <c r="P25" i="96"/>
  <c r="O24" i="97"/>
  <c r="O23" i="97"/>
  <c r="S23" i="97"/>
  <c r="S24" i="97"/>
  <c r="S43" i="92" a="1"/>
  <c r="S43" i="92" s="1"/>
  <c r="S44" i="92" s="1"/>
  <c r="S47" i="92" s="1"/>
  <c r="O45" i="92"/>
  <c r="P46" i="92"/>
  <c r="P45" i="92"/>
  <c r="O46" i="92"/>
  <c r="O36" i="92"/>
  <c r="O34" i="92"/>
  <c r="P34" i="92"/>
  <c r="P35" i="92"/>
  <c r="M30" i="92"/>
  <c r="O35" i="92"/>
  <c r="N31" i="92"/>
  <c r="K30" i="92"/>
  <c r="T45" i="92"/>
  <c r="T46" i="92"/>
  <c r="T47" i="92"/>
  <c r="S32" i="92" a="1"/>
  <c r="S32" i="92" s="1"/>
  <c r="S33" i="92" s="1"/>
  <c r="S35" i="92" s="1"/>
  <c r="T35" i="92"/>
  <c r="T34" i="92"/>
  <c r="T36" i="92"/>
  <c r="I65" i="92" a="1"/>
  <c r="I65" i="92" s="1"/>
  <c r="I66" i="92" s="1"/>
  <c r="I69" i="92" s="1"/>
  <c r="S78" i="92"/>
  <c r="S80" i="92"/>
  <c r="S79" i="92"/>
  <c r="O80" i="92"/>
  <c r="O78" i="92"/>
  <c r="O79" i="92"/>
  <c r="O68" i="92"/>
  <c r="O69" i="92"/>
  <c r="O67" i="92"/>
  <c r="S69" i="92"/>
  <c r="S67" i="92"/>
  <c r="S68" i="92"/>
  <c r="O58" i="92"/>
  <c r="O56" i="92"/>
  <c r="O57" i="92"/>
  <c r="S58" i="92"/>
  <c r="S56" i="92"/>
  <c r="S57" i="92"/>
  <c r="N41" i="92"/>
  <c r="K41" i="92"/>
  <c r="M42" i="92"/>
  <c r="J80" i="92"/>
  <c r="J69" i="92"/>
  <c r="J58" i="92"/>
  <c r="J46" i="92"/>
  <c r="J47" i="92"/>
  <c r="I43" i="92" a="1"/>
  <c r="I43" i="92" s="1"/>
  <c r="I44" i="92" s="1"/>
  <c r="J78" i="92"/>
  <c r="J79" i="92"/>
  <c r="L54" i="92" a="1"/>
  <c r="L54" i="92" s="1"/>
  <c r="L55" i="92" s="1"/>
  <c r="I54" i="92" a="1"/>
  <c r="I54" i="92" s="1"/>
  <c r="I55" i="92" s="1"/>
  <c r="I79" i="92"/>
  <c r="I78" i="92"/>
  <c r="J56" i="92"/>
  <c r="J57" i="92"/>
  <c r="J68" i="92"/>
  <c r="J67" i="92"/>
  <c r="J34" i="92"/>
  <c r="J35" i="92"/>
  <c r="J45" i="92"/>
  <c r="I32" i="92" a="1"/>
  <c r="I32" i="92" s="1"/>
  <c r="I33" i="92" s="1"/>
  <c r="I36" i="92" s="1"/>
  <c r="O22" i="92"/>
  <c r="F11" i="104" l="1"/>
  <c r="G11" i="104"/>
  <c r="F8" i="104"/>
  <c r="G8" i="104"/>
  <c r="F8" i="103"/>
  <c r="F17" i="103" s="1"/>
  <c r="G8" i="103"/>
  <c r="G17" i="103" s="1"/>
  <c r="E17" i="103"/>
  <c r="F5" i="104"/>
  <c r="F17" i="104" s="1"/>
  <c r="G5" i="104"/>
  <c r="E17" i="104"/>
  <c r="O24" i="92"/>
  <c r="O25" i="92"/>
  <c r="S45" i="92"/>
  <c r="S46" i="92"/>
  <c r="K31" i="92"/>
  <c r="K32" i="92" s="1" a="1"/>
  <c r="K32" i="92" s="1"/>
  <c r="K33" i="92" s="1"/>
  <c r="M31" i="92"/>
  <c r="L32" i="92" a="1"/>
  <c r="L32" i="92" s="1"/>
  <c r="L33" i="92" s="1"/>
  <c r="S36" i="92"/>
  <c r="S34" i="92"/>
  <c r="K42" i="92"/>
  <c r="K43" i="92" s="1" a="1"/>
  <c r="K43" i="92" s="1"/>
  <c r="K44" i="92" s="1"/>
  <c r="K47" i="92" s="1"/>
  <c r="I67" i="92"/>
  <c r="I68" i="92"/>
  <c r="N42" i="92"/>
  <c r="L43" i="92" a="1"/>
  <c r="L43" i="92" s="1"/>
  <c r="L44" i="92" s="1"/>
  <c r="L46" i="92" s="1"/>
  <c r="L57" i="92"/>
  <c r="L58" i="92"/>
  <c r="L56" i="92"/>
  <c r="I57" i="92"/>
  <c r="I58" i="92"/>
  <c r="I47" i="92"/>
  <c r="I45" i="92"/>
  <c r="I46" i="92"/>
  <c r="I56" i="92"/>
  <c r="L65" i="92" a="1"/>
  <c r="L65" i="92" s="1"/>
  <c r="L66" i="92" s="1"/>
  <c r="L76" i="92" a="1"/>
  <c r="L76" i="92" s="1"/>
  <c r="L77" i="92" s="1"/>
  <c r="K54" i="92" a="1"/>
  <c r="K54" i="92" s="1"/>
  <c r="K55" i="92" s="1"/>
  <c r="I35" i="92"/>
  <c r="I34" i="92"/>
  <c r="O23" i="92"/>
  <c r="G17" i="104" l="1"/>
  <c r="L34" i="92"/>
  <c r="K35" i="92"/>
  <c r="L36" i="92"/>
  <c r="L35" i="92"/>
  <c r="K36" i="92"/>
  <c r="K34" i="92"/>
  <c r="K46" i="92"/>
  <c r="K45" i="92"/>
  <c r="L79" i="92"/>
  <c r="L80" i="92"/>
  <c r="L78" i="92"/>
  <c r="L47" i="92"/>
  <c r="L45" i="92"/>
  <c r="L67" i="92"/>
  <c r="L68" i="92"/>
  <c r="L69" i="92"/>
  <c r="K56" i="92"/>
  <c r="K57" i="92"/>
  <c r="K58" i="92"/>
  <c r="K65" i="92" a="1"/>
  <c r="K65" i="92" s="1"/>
  <c r="K66" i="92" s="1"/>
  <c r="K76" i="92" a="1"/>
  <c r="K76" i="92" s="1"/>
  <c r="K77" i="92" s="1"/>
  <c r="K79" i="92" l="1"/>
  <c r="K80" i="92"/>
  <c r="K78" i="92"/>
  <c r="K67" i="92"/>
  <c r="K68" i="92"/>
  <c r="K69" i="9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<sst xmlns="http://schemas.openxmlformats.org/spreadsheetml/2006/main" count="5204" uniqueCount="1441">
  <si>
    <t>Renewal:</t>
  </si>
  <si>
    <t>Infinity Rehab</t>
  </si>
  <si>
    <t>Start Exp:</t>
  </si>
  <si>
    <t xml:space="preserve">Self-Funded Medical, Prescription Drugs &amp; Vision Renewal Projections </t>
  </si>
  <si>
    <t>End Exp:</t>
  </si>
  <si>
    <t>Renewal Date: July 1, 2024 (RGA)</t>
  </si>
  <si>
    <t>Medical &amp; Vision</t>
  </si>
  <si>
    <t>Prescription Drugs</t>
  </si>
  <si>
    <t>Medical/Vis/Rx Combined</t>
  </si>
  <si>
    <t>Large Claims</t>
  </si>
  <si>
    <t>Specific Stop-Loss Level</t>
  </si>
  <si>
    <t>EE</t>
  </si>
  <si>
    <t>ES</t>
  </si>
  <si>
    <t>CH</t>
  </si>
  <si>
    <t>FAM</t>
  </si>
  <si>
    <t>PEPM</t>
  </si>
  <si>
    <t>Monthly</t>
  </si>
  <si>
    <t>Claims Experience</t>
  </si>
  <si>
    <t>3/23 - 2/24</t>
  </si>
  <si>
    <t>Specific Stop-Loss</t>
  </si>
  <si>
    <t xml:space="preserve"> </t>
  </si>
  <si>
    <t>Total Paid Claims</t>
  </si>
  <si>
    <t>Aggregating Specific</t>
  </si>
  <si>
    <t>Less Claims in Excess of Specific Stop Loss Level - Specific Stop-Loss</t>
  </si>
  <si>
    <t>Net Paid Claims                                                             Aggregating Specific</t>
  </si>
  <si>
    <t>Enrollment as of 2/24</t>
  </si>
  <si>
    <r>
      <t xml:space="preserve">Total Monthly Enrollment </t>
    </r>
    <r>
      <rPr>
        <sz val="11"/>
        <rFont val="Arial"/>
        <family val="2"/>
      </rPr>
      <t>(Lagged 1 Month for Incurred Basis)</t>
    </r>
  </si>
  <si>
    <r>
      <t xml:space="preserve">Incurred Claims Cost </t>
    </r>
    <r>
      <rPr>
        <b/>
        <sz val="11"/>
        <rFont val="Arial"/>
        <family val="2"/>
      </rPr>
      <t>(Per Employee Per Month - PEPM)</t>
    </r>
  </si>
  <si>
    <t>Adjustments to Incurred Claims Cost</t>
  </si>
  <si>
    <t xml:space="preserve">Plan Design Adjustments </t>
  </si>
  <si>
    <t>Provider Contract Adjustment</t>
  </si>
  <si>
    <r>
      <t>Add'l Claim Adjustments</t>
    </r>
    <r>
      <rPr>
        <sz val="11"/>
        <rFont val="Arial"/>
        <family val="2"/>
      </rPr>
      <t xml:space="preserve"> (Age, Gender, Family Composition, Enrollment Adjustments and Abnormal Claim Fluctuation)</t>
    </r>
  </si>
  <si>
    <r>
      <t>Less Unpooled Large Claims</t>
    </r>
    <r>
      <rPr>
        <sz val="11"/>
        <rFont val="Arial"/>
        <family val="2"/>
      </rPr>
      <t xml:space="preserve"> (For Trending Purposes)</t>
    </r>
  </si>
  <si>
    <t>Net Adjusted Incurred Claims Less Unpooled Large claims</t>
  </si>
  <si>
    <t>Annual Trend Rate</t>
  </si>
  <si>
    <r>
      <t xml:space="preserve">Number of Trend Months </t>
    </r>
    <r>
      <rPr>
        <sz val="11"/>
        <rFont val="Arial"/>
        <family val="2"/>
      </rPr>
      <t>(Midpoint to Midpoint)</t>
    </r>
    <r>
      <rPr>
        <sz val="14"/>
        <rFont val="Arial"/>
        <family val="2"/>
      </rPr>
      <t xml:space="preserve"> </t>
    </r>
  </si>
  <si>
    <t>Total Trend Factor</t>
  </si>
  <si>
    <t>Adjusted, Projected Incurred Claims Less Unpooled Large Claims</t>
  </si>
  <si>
    <t>Add Unpooled Large Claims</t>
  </si>
  <si>
    <t xml:space="preserve">Adjusted, Incurred Projected Incurred Claims </t>
  </si>
  <si>
    <r>
      <t>Adjusted, Incurred Projected Claims Cost</t>
    </r>
    <r>
      <rPr>
        <b/>
        <sz val="11"/>
        <rFont val="Arial"/>
        <family val="2"/>
      </rPr>
      <t xml:space="preserve"> (PEPM)</t>
    </r>
  </si>
  <si>
    <t>Experience Credibility</t>
  </si>
  <si>
    <t>Claims Cost Blend</t>
  </si>
  <si>
    <t>Projected Fixed Expenses &amp; Rx Rebates</t>
  </si>
  <si>
    <t>Administration</t>
  </si>
  <si>
    <t>Provider Network</t>
  </si>
  <si>
    <t>N/A</t>
  </si>
  <si>
    <t>Additional Programs</t>
  </si>
  <si>
    <t>Broker Compensation</t>
  </si>
  <si>
    <t xml:space="preserve">Prescription Drug Rebates </t>
  </si>
  <si>
    <t>Total Projected Fixed Expenses &amp; Rx Rebates (PEPM)</t>
  </si>
  <si>
    <t>Total Projected Claims, Fixed Expenses &amp; Rx Rebates (PEPM)</t>
  </si>
  <si>
    <t>Current Funding Rates (PEPM)</t>
  </si>
  <si>
    <t>Projected Funding Change</t>
  </si>
  <si>
    <t>With 0% Claim Margin</t>
  </si>
  <si>
    <t>With 1.5% Claim Margin</t>
  </si>
  <si>
    <t>With 3.0% Claim Margin</t>
  </si>
  <si>
    <t>With 5.0% Claim Margin</t>
  </si>
  <si>
    <t>Recommendation</t>
  </si>
  <si>
    <t xml:space="preserve">         Excludes HSA funding, HSA administration, PPACA fees and Cobra administration - all line itemed separately</t>
  </si>
  <si>
    <t>Sum</t>
  </si>
  <si>
    <t>Count</t>
  </si>
  <si>
    <t xml:space="preserve">Self-Funded Medical, Prescription Drugs &amp; Vision Projections </t>
  </si>
  <si>
    <t>Estimated TPA Options (Actuarial)</t>
  </si>
  <si>
    <t>Renewal (RGA)</t>
  </si>
  <si>
    <t>Regence (Fully-Insured)</t>
  </si>
  <si>
    <t>UHC</t>
  </si>
  <si>
    <t>Cigna</t>
  </si>
  <si>
    <t>Specific Stop Loss Options</t>
  </si>
  <si>
    <t xml:space="preserve">         SSL Deductible</t>
  </si>
  <si>
    <t xml:space="preserve">         Aggregating SSL Deductible (if any)</t>
  </si>
  <si>
    <t>Estimated Annual Cost Change (%) From Current @ 0% Claim Margin</t>
  </si>
  <si>
    <t>Net Claims Cost</t>
  </si>
  <si>
    <t>Medical Administration, Provider Network, Case Management &amp; MDLive</t>
  </si>
  <si>
    <t>Rx Administration</t>
  </si>
  <si>
    <r>
      <t>Specific Stop Loss</t>
    </r>
    <r>
      <rPr>
        <sz val="11"/>
        <rFont val="Arial"/>
        <family val="2"/>
      </rPr>
      <t xml:space="preserve"> </t>
    </r>
  </si>
  <si>
    <t>Total Projected Cost (PEPM)</t>
  </si>
  <si>
    <t xml:space="preserve">Self-Funded Medical &amp;Prescription Drugs Projections </t>
  </si>
  <si>
    <t>Estimated Specific Stop Loss Options (Actuarial)</t>
  </si>
  <si>
    <t>Renewal</t>
  </si>
  <si>
    <t>SunLife</t>
  </si>
  <si>
    <t>Total Expense History: Dental</t>
  </si>
  <si>
    <t>Net Est. Savings Vs. Fully-Insured:</t>
  </si>
  <si>
    <t>Avg. Monthly</t>
  </si>
  <si>
    <t>Funding Budget  or</t>
  </si>
  <si>
    <t>Paid</t>
  </si>
  <si>
    <t xml:space="preserve">Fixed </t>
  </si>
  <si>
    <t>Paid &amp;</t>
  </si>
  <si>
    <t>Total</t>
  </si>
  <si>
    <t xml:space="preserve">Annual </t>
  </si>
  <si>
    <t>Funding</t>
  </si>
  <si>
    <t>Premium</t>
  </si>
  <si>
    <t>Difference $$ Savings</t>
  </si>
  <si>
    <t>Completed</t>
  </si>
  <si>
    <t>Time Period</t>
  </si>
  <si>
    <t>Enrollment</t>
  </si>
  <si>
    <t>Fully-Insured</t>
  </si>
  <si>
    <t>Claims</t>
  </si>
  <si>
    <t>Expenses</t>
  </si>
  <si>
    <t>Fixed</t>
  </si>
  <si>
    <t>Change</t>
  </si>
  <si>
    <t>Ratio</t>
  </si>
  <si>
    <t>(Insured) Estimater</t>
  </si>
  <si>
    <t>Self-Funded Vs. Fully Insured</t>
  </si>
  <si>
    <t>Months</t>
  </si>
  <si>
    <t>2014/15</t>
  </si>
  <si>
    <t>2015/16</t>
  </si>
  <si>
    <t>2016/17</t>
  </si>
  <si>
    <t>2017/18</t>
  </si>
  <si>
    <t>9/18 - 8/19</t>
  </si>
  <si>
    <t>9/19 - 12/19</t>
  </si>
  <si>
    <t>1/20 - 12/20</t>
  </si>
  <si>
    <t>1/21 - 12/21</t>
  </si>
  <si>
    <t>1/22 - 12/22</t>
  </si>
  <si>
    <t>1/23 - 12/23</t>
  </si>
  <si>
    <t>1/24 - YTD</t>
  </si>
  <si>
    <t>9/14 - 5/24</t>
  </si>
  <si>
    <t>Specific Stop Loss Analysis</t>
  </si>
  <si>
    <t>Current @ $275,000</t>
  </si>
  <si>
    <t>Premium That Would Have Been Paid</t>
  </si>
  <si>
    <t>Claims that Would Have Been Paid by Stop Loss</t>
  </si>
  <si>
    <t>Premium Surplus/(Deficit)</t>
  </si>
  <si>
    <t>Net Claims That Would Have Paid</t>
  </si>
  <si>
    <t>Total Premium &amp; Claims Paid</t>
  </si>
  <si>
    <t>Avg. Enrollment</t>
  </si>
  <si>
    <t>Carrier</t>
  </si>
  <si>
    <t>Symetra</t>
  </si>
  <si>
    <t>Granular</t>
  </si>
  <si>
    <t>TOTAL</t>
  </si>
  <si>
    <t>Contract Type</t>
  </si>
  <si>
    <t>Paid/16</t>
  </si>
  <si>
    <t>24/12</t>
  </si>
  <si>
    <t>SL Premium (Composite)</t>
  </si>
  <si>
    <t>Option 1 - $125,000 Level with $180,000 Aggregating Specific (prior years adjusted to this level)</t>
  </si>
  <si>
    <t>Est. Costs / (Savings)</t>
  </si>
  <si>
    <t>Aggregating Specific Stop-Loss</t>
  </si>
  <si>
    <t>Gross Medical/Rx</t>
  </si>
  <si>
    <t>Slope Spec. Factor to Current SL</t>
  </si>
  <si>
    <t>Slope Spec. Factor to 125,000</t>
  </si>
  <si>
    <t>Slope Spec. Factor to 175,000</t>
  </si>
  <si>
    <t>Large Claims Over $100,000</t>
  </si>
  <si>
    <t>Option 2 - $175,000 Level with $180,000 Aggregating Specific (prior years adjusted to this level)</t>
  </si>
  <si>
    <t>Please note, this historical lookback analysis is not intended to predict future claims.</t>
  </si>
  <si>
    <t>2023 LASER - Craig Carroll, $650,000</t>
  </si>
  <si>
    <t>Row Labels</t>
  </si>
  <si>
    <t>Sum of Total Paid</t>
  </si>
  <si>
    <t>2023 LASER - Kynsie Riedel, $375,000</t>
  </si>
  <si>
    <t>CARROLL, CRAIG</t>
  </si>
  <si>
    <t>RIEDEL, KYNSIE</t>
  </si>
  <si>
    <t>*****</t>
  </si>
  <si>
    <t>FREEMAN, RICKIE</t>
  </si>
  <si>
    <t>THOMAS, JENNIFER</t>
  </si>
  <si>
    <t>BRESEE, RAND</t>
  </si>
  <si>
    <t>TUNTLAND, TRACY</t>
  </si>
  <si>
    <t>FRANCIS, EVELYN</t>
  </si>
  <si>
    <t>QUINTRELL, JOHN</t>
  </si>
  <si>
    <t>MOORE, TRAVIS</t>
  </si>
  <si>
    <t>HOSKINSON, JEREMY</t>
  </si>
  <si>
    <t>LETARTE, EDWARD</t>
  </si>
  <si>
    <t>DENTON, AARON</t>
  </si>
  <si>
    <t>HOMME-LIBBEY, EMILY</t>
  </si>
  <si>
    <t>ELLER-PURVIS, MELANIE</t>
  </si>
  <si>
    <t>HEINZMAN, CASEY</t>
  </si>
  <si>
    <t>SOFFNER, APRIL</t>
  </si>
  <si>
    <t>JACKSON, DENNIS</t>
  </si>
  <si>
    <t>GIURGIEV, IASMINA</t>
  </si>
  <si>
    <t>KNOTTS, BAKER</t>
  </si>
  <si>
    <t>HAMBURG, SHAWN</t>
  </si>
  <si>
    <t>WINKLER, IVY</t>
  </si>
  <si>
    <t>JONES, ANTHONY</t>
  </si>
  <si>
    <t>ANDERSON, ERIK</t>
  </si>
  <si>
    <t>TURNER, SAMANTHA</t>
  </si>
  <si>
    <t>NICHOLSON, DUSTIN</t>
  </si>
  <si>
    <t>MAHAN, BRENDAN</t>
  </si>
  <si>
    <t>MAHAN, AMANDA</t>
  </si>
  <si>
    <t>TRYON, DARYL</t>
  </si>
  <si>
    <t>RUTLEDGE, JANET</t>
  </si>
  <si>
    <t>POPRAVAK, NICHOLAS</t>
  </si>
  <si>
    <t>DAVIE, LISA</t>
  </si>
  <si>
    <t>COOK, KRISTINA</t>
  </si>
  <si>
    <t>LEWIS, LAURIE</t>
  </si>
  <si>
    <t>CALHOUN, ADAM</t>
  </si>
  <si>
    <t>NICHELSON, SASHA</t>
  </si>
  <si>
    <t>COSSAR, BRIAN</t>
  </si>
  <si>
    <t>STACKS, RUSSELL</t>
  </si>
  <si>
    <t>BIELAS, MITCH</t>
  </si>
  <si>
    <t>PLUCKHAHN, KIERA</t>
  </si>
  <si>
    <t>MCLEMORE, KATRINA</t>
  </si>
  <si>
    <t>SHRUM, MICHAEL</t>
  </si>
  <si>
    <t>LEEK, DEBORAH</t>
  </si>
  <si>
    <t>GELSINGER, LEE</t>
  </si>
  <si>
    <t>BOYER, HAILEY</t>
  </si>
  <si>
    <t>BALASBAS, WARREN</t>
  </si>
  <si>
    <t>YOUNG, ARIEL</t>
  </si>
  <si>
    <t>VANE, JACQUELINE</t>
  </si>
  <si>
    <t>ROY, JACK</t>
  </si>
  <si>
    <t>PETERSON, JACKIE</t>
  </si>
  <si>
    <t>LUND, KELLY</t>
  </si>
  <si>
    <t>GIBSON, RONALD</t>
  </si>
  <si>
    <t>CASTRO- SANCHEZ, BRENDA</t>
  </si>
  <si>
    <t>MCKEE, RICHARD</t>
  </si>
  <si>
    <t>BUTSCH, MICHELE</t>
  </si>
  <si>
    <t>SUVADA, KENDRICK</t>
  </si>
  <si>
    <t>FREEMAN, LINDA</t>
  </si>
  <si>
    <t>NUNN, DANIEL</t>
  </si>
  <si>
    <t>JOHNSON, ROY</t>
  </si>
  <si>
    <t>FIELDS, JAMES</t>
  </si>
  <si>
    <t>MCCORMACK, KIM</t>
  </si>
  <si>
    <t>RAWLINS, TROY</t>
  </si>
  <si>
    <t>EPPERSON, ROCKY</t>
  </si>
  <si>
    <t>FOREMAN, JAYMIE</t>
  </si>
  <si>
    <t>CORRELL, MARILYN</t>
  </si>
  <si>
    <t>WEIGEL, RICHARD</t>
  </si>
  <si>
    <t>DEMMON, KIM</t>
  </si>
  <si>
    <t>MACFARLANE, JORDAN</t>
  </si>
  <si>
    <t>ANDERSON, QUINTESSA</t>
  </si>
  <si>
    <t>CARY, KEVIN</t>
  </si>
  <si>
    <t>HUBER, ELAINE</t>
  </si>
  <si>
    <t>FRANCIS, JOSHUA</t>
  </si>
  <si>
    <t>HICBAN, STEFANIA PHYLIC</t>
  </si>
  <si>
    <t>DAVIDSON, WILLIAM</t>
  </si>
  <si>
    <t>JACKSON, CARSON</t>
  </si>
  <si>
    <t>SKEETER, MIRANDA</t>
  </si>
  <si>
    <t>DEGENHART, LESLIE</t>
  </si>
  <si>
    <t>LEHTO, KRISTIN</t>
  </si>
  <si>
    <t>RAQUER, JENNIFER</t>
  </si>
  <si>
    <t>SCHNEIDER, SYDNEY</t>
  </si>
  <si>
    <t>GILBRIDE, DALEANA</t>
  </si>
  <si>
    <t>TUBBERVILLE, MONICA</t>
  </si>
  <si>
    <t>HASKE, TAVEN</t>
  </si>
  <si>
    <t>CLEVELAND, DEEANNA</t>
  </si>
  <si>
    <t>HINTZ - JOHNSON, JEANE</t>
  </si>
  <si>
    <t>PECK, KERRY</t>
  </si>
  <si>
    <t>TOVES, RACHEL</t>
  </si>
  <si>
    <t>RICH, SERENA</t>
  </si>
  <si>
    <t>AZINGER, MARLA</t>
  </si>
  <si>
    <t>YEATS, WILDER</t>
  </si>
  <si>
    <t>ROBERTS, ALEXANDRIA</t>
  </si>
  <si>
    <t>PARDUE, CHANTAL</t>
  </si>
  <si>
    <t>LAWSON, CONNIE</t>
  </si>
  <si>
    <t>MELTON, TAMMY</t>
  </si>
  <si>
    <t>SUVADA, KRYSTAL</t>
  </si>
  <si>
    <t>DEFEBBO, MCKENNA</t>
  </si>
  <si>
    <t>STADICK, PAUL</t>
  </si>
  <si>
    <t>FELIX, ALANA</t>
  </si>
  <si>
    <t>DEGRANDPRE, STEPHANIE</t>
  </si>
  <si>
    <t>COPE, MEGAN</t>
  </si>
  <si>
    <t>HUSS, NEIL</t>
  </si>
  <si>
    <t>ALLEN, THOMAS</t>
  </si>
  <si>
    <t>STEIN, JEFFREY</t>
  </si>
  <si>
    <t>STOBER, TY</t>
  </si>
  <si>
    <t>PETERS, KYLE</t>
  </si>
  <si>
    <t>MCMILLAN, SHARON</t>
  </si>
  <si>
    <t>NICHOLSON, ALISON</t>
  </si>
  <si>
    <t>SEXSON, JENNIFER</t>
  </si>
  <si>
    <t>WEBBERLEY, COLBY</t>
  </si>
  <si>
    <t>MUSSER, JEFFREY</t>
  </si>
  <si>
    <t>HIGGINS, TIM</t>
  </si>
  <si>
    <t>JOHNSON, GERALD</t>
  </si>
  <si>
    <t>SKOLLINGSBERG, ANNABELLE</t>
  </si>
  <si>
    <t>TURNER, GREG</t>
  </si>
  <si>
    <t>ANDERSON, RICHARD</t>
  </si>
  <si>
    <t>THURMAN, CHAD</t>
  </si>
  <si>
    <t>FORAL, GLORIA</t>
  </si>
  <si>
    <t>RAMEY, BRIAN</t>
  </si>
  <si>
    <t>BACHELDER, KENDALL</t>
  </si>
  <si>
    <t>ALBA, EDWIN</t>
  </si>
  <si>
    <t>NELSON, CARMEN</t>
  </si>
  <si>
    <t>WHITNEY, TARISA</t>
  </si>
  <si>
    <t>BOLLENS, JENNA</t>
  </si>
  <si>
    <t>BENOIT, EMILY</t>
  </si>
  <si>
    <t>KNOTTS, BAYLOR</t>
  </si>
  <si>
    <t>AKERILL, PHILLIP</t>
  </si>
  <si>
    <t>TURK, MELANIE</t>
  </si>
  <si>
    <t>WINKLER, CHARLES</t>
  </si>
  <si>
    <t>SNOW, EMILY</t>
  </si>
  <si>
    <t>MILES, ANGELA</t>
  </si>
  <si>
    <t>SCHETKY, JONATHAN</t>
  </si>
  <si>
    <t>KENNEDY, PATRICK</t>
  </si>
  <si>
    <t>HING, AUDREYAUNA</t>
  </si>
  <si>
    <t>KARNOSKI, JOHANNA</t>
  </si>
  <si>
    <t>DELAPENA, ISABEL</t>
  </si>
  <si>
    <t>HALEY, JOHN</t>
  </si>
  <si>
    <t>FRANCO, CHRISTINA</t>
  </si>
  <si>
    <t>CHAVERS, CHERI</t>
  </si>
  <si>
    <t>CAMPBELL MCCOLLUM, IDEN</t>
  </si>
  <si>
    <t>PRENTICE, RONI</t>
  </si>
  <si>
    <t>HAMMOND, TRACI</t>
  </si>
  <si>
    <t>FRANCIS, LAURA</t>
  </si>
  <si>
    <t>MCNICHOLAS, DUANE</t>
  </si>
  <si>
    <t>OLSEN, SHANNON</t>
  </si>
  <si>
    <t>CHOPP, JAMISON</t>
  </si>
  <si>
    <t>HARRIS, STEVE</t>
  </si>
  <si>
    <t>CHICKS, THERON</t>
  </si>
  <si>
    <t>KUNZE, ASHLEY NICOLE</t>
  </si>
  <si>
    <t>CARLOW, JAKE</t>
  </si>
  <si>
    <t>KITTERMAN, JASON</t>
  </si>
  <si>
    <t>HARRIS, ANDREA</t>
  </si>
  <si>
    <t>LENNON, GUY</t>
  </si>
  <si>
    <t>WOKAL, ANGELIQUE</t>
  </si>
  <si>
    <t>THURMAN, SIOBHAN</t>
  </si>
  <si>
    <t>WHITNEY, MARCUS</t>
  </si>
  <si>
    <t>SWANSON, MICHAEL</t>
  </si>
  <si>
    <t>DONOHUE, LILY</t>
  </si>
  <si>
    <t>LOFTON, LEE</t>
  </si>
  <si>
    <t>MILLER, JOSHUA</t>
  </si>
  <si>
    <t>HEARD, CHRISTOPHER</t>
  </si>
  <si>
    <t>DANLEY, KEVIN</t>
  </si>
  <si>
    <t>DOLLAR, SARAH</t>
  </si>
  <si>
    <t>KESLER-MAROSI, TEEGAN</t>
  </si>
  <si>
    <t>RICH, MELANIE</t>
  </si>
  <si>
    <t>ROY, CONNER</t>
  </si>
  <si>
    <t>GILBRIDE, PATRICK</t>
  </si>
  <si>
    <t>HOSKINSON, MELISSA</t>
  </si>
  <si>
    <t>TURNER, BRADLEY</t>
  </si>
  <si>
    <t>GIVENS, ROBERT</t>
  </si>
  <si>
    <t>BALASBAS, KAREN</t>
  </si>
  <si>
    <t>DEMARCO, AVA</t>
  </si>
  <si>
    <t>VAN AALST, KASEN</t>
  </si>
  <si>
    <t>TRYON, MONYKA</t>
  </si>
  <si>
    <t>LOCKE, RUBY</t>
  </si>
  <si>
    <t>HOLMES, ELIZABETH</t>
  </si>
  <si>
    <t>TAYLOR, LYLA</t>
  </si>
  <si>
    <t>SEIBEL, JEFF</t>
  </si>
  <si>
    <t>CHANDRA, ALYSHA</t>
  </si>
  <si>
    <t>JENSEN, DANIEL</t>
  </si>
  <si>
    <t>SCHETKY, JULIA</t>
  </si>
  <si>
    <t>RICH, LUCAS</t>
  </si>
  <si>
    <t>WEBBERLEY, TESSIE</t>
  </si>
  <si>
    <t>PICCHIONI, TINA</t>
  </si>
  <si>
    <t>CONE, MIKAELA</t>
  </si>
  <si>
    <t>KIRSCHENMAN, MEGAN</t>
  </si>
  <si>
    <t>DEGRANDPRE, HAYDEN</t>
  </si>
  <si>
    <t>PRIEST, LAUREL</t>
  </si>
  <si>
    <t>VISSMAN, SCOTT</t>
  </si>
  <si>
    <t>HALLVIK, ALEX</t>
  </si>
  <si>
    <t>Grand Total</t>
  </si>
  <si>
    <t>High Cost Claimant Detail</t>
  </si>
  <si>
    <t>Post Date:</t>
  </si>
  <si>
    <t>05/31/2024</t>
  </si>
  <si>
    <t>Run Date:</t>
  </si>
  <si>
    <t>7/8/2024</t>
  </si>
  <si>
    <t>Paid Date:</t>
  </si>
  <si>
    <t>Total (2023/06 - 2024/05)</t>
  </si>
  <si>
    <t>Metrics:</t>
  </si>
  <si>
    <t>(Claim Line Count (Line))</t>
  </si>
  <si>
    <t>Total Paid:</t>
  </si>
  <si>
    <t>(descending)</t>
  </si>
  <si>
    <t>Member ID</t>
  </si>
  <si>
    <t>Member Name</t>
  </si>
  <si>
    <t>Member Date of Birth</t>
  </si>
  <si>
    <t>Member Relationship</t>
  </si>
  <si>
    <t>Parent Group</t>
  </si>
  <si>
    <t>Group*</t>
  </si>
  <si>
    <t>SubGroup*</t>
  </si>
  <si>
    <t>Class*</t>
  </si>
  <si>
    <t>Class Plan*</t>
  </si>
  <si>
    <t>Currently Enrolled Indicator</t>
  </si>
  <si>
    <t>Primary Diagnosis Level 1</t>
  </si>
  <si>
    <t>Primary Diagnosis Level 2</t>
  </si>
  <si>
    <t>Primary Diagnosis Level 3</t>
  </si>
  <si>
    <t>Primary Drug Name</t>
  </si>
  <si>
    <t>Last Service Month</t>
  </si>
  <si>
    <t>Prospective Risk Score</t>
  </si>
  <si>
    <t>Prospective Risk Range</t>
  </si>
  <si>
    <t>Medical Paid</t>
  </si>
  <si>
    <t>Pharmacy Paid</t>
  </si>
  <si>
    <t>Total Paid</t>
  </si>
  <si>
    <t>Total Billed</t>
  </si>
  <si>
    <t>Total Covered Charges</t>
  </si>
  <si>
    <t>Total Allowed</t>
  </si>
  <si>
    <t>Admits</t>
  </si>
  <si>
    <t>Services</t>
  </si>
  <si>
    <t>Prescriptions</t>
  </si>
  <si>
    <t>180193559-00</t>
  </si>
  <si>
    <t>1984-10-11</t>
  </si>
  <si>
    <t>Subscriber</t>
  </si>
  <si>
    <t>800000032 - CITY OF VANCOUVER</t>
  </si>
  <si>
    <t>10034258 - CITY OF VANCOUVER</t>
  </si>
  <si>
    <t>0001 - CITY OF VANCOUVER ACTIVE NON-UNIFORMED</t>
  </si>
  <si>
    <t>0001 - ACTIVE</t>
  </si>
  <si>
    <t>RXES1001 - ASC Custom RX Plan 1</t>
  </si>
  <si>
    <t>Yes</t>
  </si>
  <si>
    <t>Diseases of the digestive system</t>
  </si>
  <si>
    <t>Abdominal hernia</t>
  </si>
  <si>
    <t>K44.9 - Diaphragmatic hernia without obstruction or gangrene</t>
  </si>
  <si>
    <t>HAEGARDA</t>
  </si>
  <si>
    <t>May 2024</t>
  </si>
  <si>
    <t>High Risk</t>
  </si>
  <si>
    <t>180116158-01</t>
  </si>
  <si>
    <t>1995-08-22</t>
  </si>
  <si>
    <t>Spouse</t>
  </si>
  <si>
    <t>0005 - CITY OF VANCOUVER POLICE GUILD COMMAND</t>
  </si>
  <si>
    <t>0011 - POLICE GUILD/COMMAND</t>
  </si>
  <si>
    <t>Diseases of the respiratory system</t>
  </si>
  <si>
    <t>Other specified and unspecified upper respiratory disease</t>
  </si>
  <si>
    <t>J34.2 - Deviated nasal septum</t>
  </si>
  <si>
    <t>TRIKAFTA</t>
  </si>
  <si>
    <t>170155650-01</t>
  </si>
  <si>
    <t>1955-11-29</t>
  </si>
  <si>
    <t>MESA1001 - ASC Custom Product 1</t>
  </si>
  <si>
    <t>No</t>
  </si>
  <si>
    <t>Diseases of the nervous system</t>
  </si>
  <si>
    <t>Other nervous system disorders (neither hereditary nor degenerative)</t>
  </si>
  <si>
    <t>G93.6 - Cerebral edema</t>
  </si>
  <si>
    <t>Jun 2023</t>
  </si>
  <si>
    <t>170155795-00</t>
  </si>
  <si>
    <t>1983-09-24</t>
  </si>
  <si>
    <t>Diseases of the musculoskeletal system and connective tissue</t>
  </si>
  <si>
    <t>Spondylopathies/spondyloarthropathy (including infective)</t>
  </si>
  <si>
    <t>M54.2 - Cervicalgia</t>
  </si>
  <si>
    <t>STELARA</t>
  </si>
  <si>
    <t>Medium Risk</t>
  </si>
  <si>
    <t>170155604-01</t>
  </si>
  <si>
    <t>1974-09-13</t>
  </si>
  <si>
    <t>Diseases of the blood and blood-forming organs and certain disorders involving the immune mechanism</t>
  </si>
  <si>
    <t>Immunity disorders</t>
  </si>
  <si>
    <t>D84.9 - Immunodeficiency, unspecified</t>
  </si>
  <si>
    <t>CRESEMBA</t>
  </si>
  <si>
    <t>170155802-00</t>
  </si>
  <si>
    <t>1961-12-24</t>
  </si>
  <si>
    <t>Neoplasms</t>
  </si>
  <si>
    <t>Secondary malignancies</t>
  </si>
  <si>
    <t>C79.31 - Secondary malignant neoplasm of brain</t>
  </si>
  <si>
    <t>ALUNBRIG</t>
  </si>
  <si>
    <t>Dec 2023</t>
  </si>
  <si>
    <t>190175618-02</t>
  </si>
  <si>
    <t>2007-01-18</t>
  </si>
  <si>
    <t>Dependent</t>
  </si>
  <si>
    <t>RXHS1001 - HSA RX Plan 1</t>
  </si>
  <si>
    <t>Mental, behavioral and neurodevelopmental disorders</t>
  </si>
  <si>
    <t>Depressive disorders</t>
  </si>
  <si>
    <t>F33.1 - Major depressive disorder, recurrent, moderate</t>
  </si>
  <si>
    <t>GUANFACINE ER</t>
  </si>
  <si>
    <t>Low Risk</t>
  </si>
  <si>
    <t>230212616-01</t>
  </si>
  <si>
    <t>1964-04-15</t>
  </si>
  <si>
    <t>M48.061 - Spinal stenosis, lumbar region without neurogenic claudication</t>
  </si>
  <si>
    <t>GABAPENTIN</t>
  </si>
  <si>
    <t>180071252-00</t>
  </si>
  <si>
    <t>1972-10-09</t>
  </si>
  <si>
    <t>Benign neoplasms</t>
  </si>
  <si>
    <t>D12.2 - Benign neoplasm of ascending colon</t>
  </si>
  <si>
    <t>ELIQUIS</t>
  </si>
  <si>
    <t>170155843-00</t>
  </si>
  <si>
    <t>1987-01-27</t>
  </si>
  <si>
    <t>MHSA1001 - HSA Medical Plan 1</t>
  </si>
  <si>
    <t>Hodgkin lymphoma</t>
  </si>
  <si>
    <t>C81.04 - Nodular lymphocyte predominant Hodgkin lymphoma, lymph nodes of axilla and upper limb</t>
  </si>
  <si>
    <t>BUDESONIDE</t>
  </si>
  <si>
    <t>170155707-00</t>
  </si>
  <si>
    <t>1963-10-03</t>
  </si>
  <si>
    <t>Diseases of the circulatory system</t>
  </si>
  <si>
    <t>Cardiac dysrhythmias</t>
  </si>
  <si>
    <t>I48.0 - Paroxysmal atrial fibrillation</t>
  </si>
  <si>
    <t>170155635-01</t>
  </si>
  <si>
    <t>1985-08-04</t>
  </si>
  <si>
    <t>Nonspecific chest pain</t>
  </si>
  <si>
    <t>R07.2 - Precordial pain</t>
  </si>
  <si>
    <t>HUMIRA PEN</t>
  </si>
  <si>
    <t>170155709-04</t>
  </si>
  <si>
    <t>2007-01-17</t>
  </si>
  <si>
    <t>F33.2 - Major depressive disorder, recurrent severe without psychotic features</t>
  </si>
  <si>
    <t>DEXMETHYLPHENIDATE HYDROCHLORIDE ER</t>
  </si>
  <si>
    <t>Neurogenic/neuropathic arthropathy</t>
  </si>
  <si>
    <t>M14.671 - Charcot's joint, right ankle and foot</t>
  </si>
  <si>
    <t>!</t>
  </si>
  <si>
    <t>210074504-01</t>
  </si>
  <si>
    <t>1970-10-26</t>
  </si>
  <si>
    <t>Tendon and synovial disorders</t>
  </si>
  <si>
    <t>M75.111 - Incomplete rotator cuff tear or rupture of right shoulder, not specified as traumatic</t>
  </si>
  <si>
    <t>JARDIANCE</t>
  </si>
  <si>
    <t>180037915-00</t>
  </si>
  <si>
    <t>1979-04-03</t>
  </si>
  <si>
    <t>170156026-00</t>
  </si>
  <si>
    <t>1986-06-05</t>
  </si>
  <si>
    <t>10034259 - VANCOUVER HOUSING AUTHORITY</t>
  </si>
  <si>
    <t>0001 - VANCOUVER HOUSING AUTHORITY</t>
  </si>
  <si>
    <t>Multiple sclerosis</t>
  </si>
  <si>
    <t>G35 - Multiple sclerosis</t>
  </si>
  <si>
    <t>BLISOVI FE 1/20</t>
  </si>
  <si>
    <t>170155676-00</t>
  </si>
  <si>
    <t>1968-06-08</t>
  </si>
  <si>
    <t>Osteoarthritis</t>
  </si>
  <si>
    <t>M17.12 - Unilateral primary osteoarthritis, left knee</t>
  </si>
  <si>
    <t>OLMESARTAN MEDOXOMIL</t>
  </si>
  <si>
    <t>190065775-00</t>
  </si>
  <si>
    <t>1982-02-05</t>
  </si>
  <si>
    <t>Regional enteritis and ulcerative colitis</t>
  </si>
  <si>
    <t>K50.912 - Crohn's disease, unspecified, with intestinal obstruction</t>
  </si>
  <si>
    <t>BUSPIRONE HYDROCHLORIDE</t>
  </si>
  <si>
    <t>Mar 2024</t>
  </si>
  <si>
    <t>210267364-02</t>
  </si>
  <si>
    <t>2023-12-11</t>
  </si>
  <si>
    <t>K40.20 - Bilateral inguinal hernia, without obstruction or gangrene, not specified as recurrent</t>
  </si>
  <si>
    <t>FAMOTIDINE</t>
  </si>
  <si>
    <t>210200135-00</t>
  </si>
  <si>
    <t>1974-05-24</t>
  </si>
  <si>
    <t>RXES2001 - ASC Custom RX Plan 2</t>
  </si>
  <si>
    <t>Injury, poisoning and certain other consequences of external causes</t>
  </si>
  <si>
    <t>Fracture of the neck of the femur (hip), initial encounter</t>
  </si>
  <si>
    <t>S72.142A - Displaced intertrochanteric fracture of left femur, initial encounter for closed fracture</t>
  </si>
  <si>
    <t>RESTASIS</t>
  </si>
  <si>
    <t>170155819-01</t>
  </si>
  <si>
    <t>1958-01-02</t>
  </si>
  <si>
    <t>M47.22 - Other spondylosis with radiculopathy, cervical region</t>
  </si>
  <si>
    <t>AREXVY</t>
  </si>
  <si>
    <t>220288946-01</t>
  </si>
  <si>
    <t>1959-11-07</t>
  </si>
  <si>
    <t>M16.11 - Unilateral primary osteoarthritis, right hip</t>
  </si>
  <si>
    <t>OZEMPIC</t>
  </si>
  <si>
    <t>170155584-00</t>
  </si>
  <si>
    <t>1969-05-24</t>
  </si>
  <si>
    <t>Pleurisy, pleural effusion and pulmonary collapse</t>
  </si>
  <si>
    <t>J90 - Pleural effusion, not elsewhere classified</t>
  </si>
  <si>
    <t>Apr 2024</t>
  </si>
  <si>
    <t>220067761-02</t>
  </si>
  <si>
    <t>1991-02-28</t>
  </si>
  <si>
    <t>Anxiety and fear-related disorders</t>
  </si>
  <si>
    <t>F41.1 - Generalized anxiety disorder</t>
  </si>
  <si>
    <t>ADBRY</t>
  </si>
  <si>
    <t>170155860-00</t>
  </si>
  <si>
    <t>1979-02-26</t>
  </si>
  <si>
    <t>M19.172 - Post-traumatic osteoarthritis, left ankle and foot</t>
  </si>
  <si>
    <t>OXYCODONE HYDROCHLORIDE</t>
  </si>
  <si>
    <t>170155712-02</t>
  </si>
  <si>
    <t>2006-03-22</t>
  </si>
  <si>
    <t>CLONIDINE HYDROCHLORIDE</t>
  </si>
  <si>
    <t>170155712-01</t>
  </si>
  <si>
    <t>1979-04-05</t>
  </si>
  <si>
    <t>Headache; including migraine</t>
  </si>
  <si>
    <t>G43.719 - Chronic migraine without aura, intractable, without status migrainosus</t>
  </si>
  <si>
    <t>170155800-01</t>
  </si>
  <si>
    <t>1970-09-01</t>
  </si>
  <si>
    <t>Asthma</t>
  </si>
  <si>
    <t>J45.50 - Severe persistent asthma, uncomplicated</t>
  </si>
  <si>
    <t>FASENRA PEN</t>
  </si>
  <si>
    <t>190139718-00</t>
  </si>
  <si>
    <t>1953-06-10</t>
  </si>
  <si>
    <t>IPRATROPIUM BROMIDE</t>
  </si>
  <si>
    <t>190001687-00</t>
  </si>
  <si>
    <t>1973-11-28</t>
  </si>
  <si>
    <t>Sinusitis</t>
  </si>
  <si>
    <t>J32.9 - Chronic sinusitis, unspecified</t>
  </si>
  <si>
    <t>BUPROPION HYDROCHLORIDE ER (XL)</t>
  </si>
  <si>
    <t>170155632-01</t>
  </si>
  <si>
    <t>1962-02-25</t>
  </si>
  <si>
    <t>Trauma- and stressor-related disorders</t>
  </si>
  <si>
    <t>F43.10 - Post-traumatic stress disorder, unspecified</t>
  </si>
  <si>
    <t>AUVELITY</t>
  </si>
  <si>
    <t>210110644-00</t>
  </si>
  <si>
    <t>1966-01-25</t>
  </si>
  <si>
    <t>M19.90 - Unspecified osteoarthritis, unspecified site</t>
  </si>
  <si>
    <t>170155708-01</t>
  </si>
  <si>
    <t>1973-03-05</t>
  </si>
  <si>
    <t>Fracture of the lower limb (except hip), initial encounter</t>
  </si>
  <si>
    <t>S82.51xA - Displaced fracture of medial malleolus of right tibia, initial encounter for closed fracture</t>
  </si>
  <si>
    <t>170155609-02</t>
  </si>
  <si>
    <t>2004-05-13</t>
  </si>
  <si>
    <t>FLUVOXAMINE MALEATE ER</t>
  </si>
  <si>
    <t>170156021-00</t>
  </si>
  <si>
    <t>1959-06-02</t>
  </si>
  <si>
    <t>Biliary tract disease</t>
  </si>
  <si>
    <t>K81.0 - Acute cholecystitis</t>
  </si>
  <si>
    <t>220049384-01</t>
  </si>
  <si>
    <t>1973-05-20</t>
  </si>
  <si>
    <t>Certain infectious and parasitic diseases</t>
  </si>
  <si>
    <t>Septicemia</t>
  </si>
  <si>
    <t>A41.9 - Sepsis, unspecified organism</t>
  </si>
  <si>
    <t>COMIRNATY 2023-24</t>
  </si>
  <si>
    <t>170155874-00</t>
  </si>
  <si>
    <t>1961-08-06</t>
  </si>
  <si>
    <t>J32.0 - Chronic maxillary sinusitis</t>
  </si>
  <si>
    <t>170155598-00</t>
  </si>
  <si>
    <t>1954-08-10</t>
  </si>
  <si>
    <t>Other specified chronic arthropathy</t>
  </si>
  <si>
    <t>L40.50 - Arthropathic psoriasis, unspecified</t>
  </si>
  <si>
    <t>COSENTYX SENSOREADY PEN</t>
  </si>
  <si>
    <t>210159655-03</t>
  </si>
  <si>
    <t>2005-11-04</t>
  </si>
  <si>
    <t>Miscellaneous mental and behavioral disorders/conditions</t>
  </si>
  <si>
    <t>F64.0 - Transsexualism</t>
  </si>
  <si>
    <t>NORETHINDRONE ACETATE</t>
  </si>
  <si>
    <t>220308433-01</t>
  </si>
  <si>
    <t>1987-10-01</t>
  </si>
  <si>
    <t>Pregnancy, childbirth and the puerperium</t>
  </si>
  <si>
    <t>Polyhydramnios and other problems of amniotic cavity</t>
  </si>
  <si>
    <t>O41.03x0 - Oligohydramnios, third trimester, not applicable or unspecified</t>
  </si>
  <si>
    <t>INCASSIA</t>
  </si>
  <si>
    <t>170155777-00</t>
  </si>
  <si>
    <t>1955-06-22</t>
  </si>
  <si>
    <t>M16.12 - Unilateral primary osteoarthritis, left hip</t>
  </si>
  <si>
    <t>EPINEPHRINE</t>
  </si>
  <si>
    <t>210133437-01</t>
  </si>
  <si>
    <t>1972-05-22</t>
  </si>
  <si>
    <t>Diseases of the genitourinary system</t>
  </si>
  <si>
    <t>Prolapse of female genital organs</t>
  </si>
  <si>
    <t>N81.4 - Uterovaginal prolapse, unspecified</t>
  </si>
  <si>
    <t>AMPHETAMINE/DEXTROAMPHETAMINE</t>
  </si>
  <si>
    <t>170155653-00</t>
  </si>
  <si>
    <t>1982-02-08</t>
  </si>
  <si>
    <t>Hypertension with complications and secondary hypertension</t>
  </si>
  <si>
    <t>I16.0 - Hypertensive urgency</t>
  </si>
  <si>
    <t>ENTRESTO</t>
  </si>
  <si>
    <t>170156239-02</t>
  </si>
  <si>
    <t>1998-07-08</t>
  </si>
  <si>
    <t>Other specified complications in pregnancy</t>
  </si>
  <si>
    <t>O21.1 - Hyperemesis gravidarum with metabolic disturbance</t>
  </si>
  <si>
    <t>PROMETHEGAN</t>
  </si>
  <si>
    <t>170155997-00</t>
  </si>
  <si>
    <t>1960-07-18</t>
  </si>
  <si>
    <t>External causes of morbidity</t>
  </si>
  <si>
    <t>External cause codes: other specified, classifiable and NEC; initial encounter</t>
  </si>
  <si>
    <t>T16.2xxA - Foreign body in left ear, initial encounter</t>
  </si>
  <si>
    <t>SKYRIZI PEN</t>
  </si>
  <si>
    <t>190221958-01</t>
  </si>
  <si>
    <t>1982-08-22</t>
  </si>
  <si>
    <t>Intestinal obstruction and ileus</t>
  </si>
  <si>
    <t>K56.600 - Partial intestinal obstruction, unspecified as to cause</t>
  </si>
  <si>
    <t>LINZESS</t>
  </si>
  <si>
    <t>220288871-00</t>
  </si>
  <si>
    <t>1972-06-12</t>
  </si>
  <si>
    <t>K51.00 - Ulcerative (chronic) pancolitis without complications</t>
  </si>
  <si>
    <t>LEVOTHYROXINE SODIUM</t>
  </si>
  <si>
    <t>180153790-00</t>
  </si>
  <si>
    <t>1980-07-22</t>
  </si>
  <si>
    <t>Endocrine, nutritional and metabolic diseases</t>
  </si>
  <si>
    <t>Fluid and electrolyte disorders</t>
  </si>
  <si>
    <t>E86.0 - Dehydration</t>
  </si>
  <si>
    <t>DIFICID</t>
  </si>
  <si>
    <t>230025501-00</t>
  </si>
  <si>
    <t>1983-04-02</t>
  </si>
  <si>
    <t>REXULTI</t>
  </si>
  <si>
    <t>170261991-00</t>
  </si>
  <si>
    <t>1961-05-09</t>
  </si>
  <si>
    <t>0004 - CITY OF VANCOUVER COBRA</t>
  </si>
  <si>
    <t>0008 - ACTIVE COBRA</t>
  </si>
  <si>
    <t>Thyroid disorders</t>
  </si>
  <si>
    <t>E06.3 - Autoimmune thyroiditis</t>
  </si>
  <si>
    <t>DUPIXENT</t>
  </si>
  <si>
    <t>170155656-00</t>
  </si>
  <si>
    <t>1963-02-21</t>
  </si>
  <si>
    <t>Diabetes mellitus with complication</t>
  </si>
  <si>
    <t>E10.36 - Type 1 diabetes mellitus with diabetic cataract</t>
  </si>
  <si>
    <t>HUMALOG</t>
  </si>
  <si>
    <t>210222779-01</t>
  </si>
  <si>
    <t>1996-09-05</t>
  </si>
  <si>
    <t>Endocrine system cancers - thyroid</t>
  </si>
  <si>
    <t>C73 - Malignant neoplasm of thyroid gland</t>
  </si>
  <si>
    <t>CALCITRIOL</t>
  </si>
  <si>
    <t>170155723-00</t>
  </si>
  <si>
    <t>1964-06-08</t>
  </si>
  <si>
    <t>M17.11 - Unilateral primary osteoarthritis, right knee</t>
  </si>
  <si>
    <t>SODIUM SULFATE/POTASSIUMSULFATE/MAGNESIUM SULFATE</t>
  </si>
  <si>
    <t>190147902-03</t>
  </si>
  <si>
    <t>1966-08-30</t>
  </si>
  <si>
    <t>Other specified and unspecified diseases of bladder and urethra</t>
  </si>
  <si>
    <t>N32.81 - Overactive bladder</t>
  </si>
  <si>
    <t>VUMERITY</t>
  </si>
  <si>
    <t>Sep 2023</t>
  </si>
  <si>
    <t>170155790-00</t>
  </si>
  <si>
    <t>1971-11-22</t>
  </si>
  <si>
    <t>SUMATRIPTAN SUCCINATE</t>
  </si>
  <si>
    <t>170155650-00</t>
  </si>
  <si>
    <t>1963-01-03</t>
  </si>
  <si>
    <t>K80.65 - Calculus of gallbladder and bile duct with chronic cholecystitis with obstruction</t>
  </si>
  <si>
    <t>AMOXICILLIN/CLAVULANATE POTASSIUM</t>
  </si>
  <si>
    <t>210272841-03</t>
  </si>
  <si>
    <t>2000-04-12</t>
  </si>
  <si>
    <t>Epilepsy; convulsions</t>
  </si>
  <si>
    <t>G40.219 - Localization-related (focal) (partial) symptomatic epilepsy and epileptic syndromes with complex partial seizures, intractable, without status epilepticus</t>
  </si>
  <si>
    <t>170156010-00</t>
  </si>
  <si>
    <t>1958-12-05</t>
  </si>
  <si>
    <t>0002 - COBRA</t>
  </si>
  <si>
    <t>Sleep wake disorders</t>
  </si>
  <si>
    <t>G47.33 - Obstructive sleep apnea (adult) (pediatric)</t>
  </si>
  <si>
    <t>BIKTARVY</t>
  </si>
  <si>
    <t>Feb 2024</t>
  </si>
  <si>
    <t>170155647-00</t>
  </si>
  <si>
    <t>1965-10-31</t>
  </si>
  <si>
    <t>Gastrointestinal cancers - colorectal</t>
  </si>
  <si>
    <t>C18.2 - Malignant neoplasm of ascending colon</t>
  </si>
  <si>
    <t>PEG-3350/NACL/NA BICARBONATE/KCL</t>
  </si>
  <si>
    <t>210074505-01</t>
  </si>
  <si>
    <t>1983-02-01</t>
  </si>
  <si>
    <t>SPIKEVAX COVID-19 VACCINE/2023-24</t>
  </si>
  <si>
    <t>R10.9 - Unspecified abdominal pain</t>
  </si>
  <si>
    <t>170197042-00</t>
  </si>
  <si>
    <t>1969-02-18</t>
  </si>
  <si>
    <t>M47.812 - Spondylosis without myelopathy or radiculopathy, cervical region</t>
  </si>
  <si>
    <t>FARXIGA</t>
  </si>
  <si>
    <t>170155644-00</t>
  </si>
  <si>
    <t>1979-04-01</t>
  </si>
  <si>
    <t>Sprains and strains, initial encounter</t>
  </si>
  <si>
    <t>S29.011A - Strain of muscle and tendon of front wall of thorax, initial encounter</t>
  </si>
  <si>
    <t>TESTOSTERONE CYPIONATE</t>
  </si>
  <si>
    <t>210184556-00</t>
  </si>
  <si>
    <t>1983-04-24</t>
  </si>
  <si>
    <t>Malposition, disproportion or other labor complications</t>
  </si>
  <si>
    <t>O32.1xx0 - Maternal care for breech presentation, not applicable or unspecified</t>
  </si>
  <si>
    <t>NIFEDIPINE ER</t>
  </si>
  <si>
    <t>170155624-00</t>
  </si>
  <si>
    <t>1959-04-25</t>
  </si>
  <si>
    <t>ANUCORT-HC</t>
  </si>
  <si>
    <t>170155786-01</t>
  </si>
  <si>
    <t>1946-01-08</t>
  </si>
  <si>
    <t>Other nervous system disorders (often hereditary or degenerative)</t>
  </si>
  <si>
    <t>G12.21 - Amyotrophic lateral sclerosis</t>
  </si>
  <si>
    <t>RILUZOLE</t>
  </si>
  <si>
    <t>170155634-01</t>
  </si>
  <si>
    <t>1961-09-03</t>
  </si>
  <si>
    <t>Musculoskeletal pain, not low back pain</t>
  </si>
  <si>
    <t>M25.562 - Pain in left knee</t>
  </si>
  <si>
    <t/>
  </si>
  <si>
    <t>LISINOPRIL</t>
  </si>
  <si>
    <t>Aug 2023</t>
  </si>
  <si>
    <t>180016159-00</t>
  </si>
  <si>
    <t>1985-09-04</t>
  </si>
  <si>
    <t>M25.552 - Pain in left hip</t>
  </si>
  <si>
    <t>170155584-01</t>
  </si>
  <si>
    <t>1970-06-06</t>
  </si>
  <si>
    <t>J34.89 - Other specified disorders of nose and nasal sinuses</t>
  </si>
  <si>
    <t>PROGESTERONE</t>
  </si>
  <si>
    <t>190240964-00</t>
  </si>
  <si>
    <t>1967-12-08</t>
  </si>
  <si>
    <t>M48.062 - Spinal stenosis, lumbar region with neurogenic claudication</t>
  </si>
  <si>
    <t>TAMSULOSIN HYDROCHLORIDE</t>
  </si>
  <si>
    <t>170155936-00</t>
  </si>
  <si>
    <t>1958-02-07</t>
  </si>
  <si>
    <t>Diseases of the ear and mastoid process</t>
  </si>
  <si>
    <t>Hearing loss</t>
  </si>
  <si>
    <t>H90.A32 - Mixed conductive and sensorineural hearing loss, unilateral, left ear with restricted hearing on the contralateral side</t>
  </si>
  <si>
    <t>ESTRADIOL</t>
  </si>
  <si>
    <t>190175618-00</t>
  </si>
  <si>
    <t>1978-11-18</t>
  </si>
  <si>
    <t>K80.12 - Calculus of gallbladder with acute and chronic cholecystitis without obstruction</t>
  </si>
  <si>
    <t>220155038-00</t>
  </si>
  <si>
    <t>1994-10-06</t>
  </si>
  <si>
    <t>Diabetes mellitus without complication</t>
  </si>
  <si>
    <t>O24.424 - Gestational diabetes mellitus in childbirth, insulin controlled</t>
  </si>
  <si>
    <t>HUMULIN N KWIKPEN</t>
  </si>
  <si>
    <t>170155833-01</t>
  </si>
  <si>
    <t>1958-08-04</t>
  </si>
  <si>
    <t>M54.12 - Radiculopathy, cervical region</t>
  </si>
  <si>
    <t>TRULICITY</t>
  </si>
  <si>
    <t>Jan 2024</t>
  </si>
  <si>
    <t>170155676-02</t>
  </si>
  <si>
    <t>2006-07-06</t>
  </si>
  <si>
    <t>Fracture of the spine and back, initial encounter</t>
  </si>
  <si>
    <t>S22.019A - Unspecified fracture of first thoracic vertebra, initial encounter for closed fracture</t>
  </si>
  <si>
    <t>170155779-00</t>
  </si>
  <si>
    <t>1975-09-24</t>
  </si>
  <si>
    <t>G43.E09 - Chronic migraine with aura, not intractable, without status migrainosus</t>
  </si>
  <si>
    <t>170261988-00</t>
  </si>
  <si>
    <t>1980-08-24</t>
  </si>
  <si>
    <t>170155704-00</t>
  </si>
  <si>
    <t>1977-06-30</t>
  </si>
  <si>
    <t>S83.512A - Sprain of anterior cruciate ligament of left knee, initial encounter</t>
  </si>
  <si>
    <t>VIENVA</t>
  </si>
  <si>
    <t>170155761-01</t>
  </si>
  <si>
    <t>1964-11-01</t>
  </si>
  <si>
    <t>M51.17 - Intervertebral disc disorders with radiculopathy, lumbosacral region</t>
  </si>
  <si>
    <t>230242136-00</t>
  </si>
  <si>
    <t>2000-05-22</t>
  </si>
  <si>
    <t>MESA2001 - ASC Custom Product 2</t>
  </si>
  <si>
    <t>170155659-01</t>
  </si>
  <si>
    <t>1963-06-30</t>
  </si>
  <si>
    <t>Symptoms, signs and abnormal clinical and laboratory findings, not elsewhere classified</t>
  </si>
  <si>
    <t>Abnormal findings without diagnosis</t>
  </si>
  <si>
    <t>R92.0 - Mammographic microcalcification found on diagnostic imaging of breast</t>
  </si>
  <si>
    <t>EMGALITY</t>
  </si>
  <si>
    <t>170155801-00</t>
  </si>
  <si>
    <t>1955-02-26</t>
  </si>
  <si>
    <t>D17.1 - Benign lipomatous neoplasm of skin and subcutaneous tissue of trunk</t>
  </si>
  <si>
    <t>REPATHA SURECLICK</t>
  </si>
  <si>
    <t>170155668-03</t>
  </si>
  <si>
    <t>2005-04-22</t>
  </si>
  <si>
    <t>S83.511A - Sprain of anterior cruciate ligament of right knee, initial encounter</t>
  </si>
  <si>
    <t>MELOXICAM</t>
  </si>
  <si>
    <t>220090511-00</t>
  </si>
  <si>
    <t>1969-05-04</t>
  </si>
  <si>
    <t>Skin/Subcutaneous signs and symptoms</t>
  </si>
  <si>
    <t>R20.0 - Anesthesia of skin</t>
  </si>
  <si>
    <t>Vasculitis</t>
  </si>
  <si>
    <t>M31.6 - Other giant cell arteritis</t>
  </si>
  <si>
    <t>170156010-01</t>
  </si>
  <si>
    <t>1956-07-17</t>
  </si>
  <si>
    <t>G44.209 - Tension-type headache, unspecified, not intractable</t>
  </si>
  <si>
    <t>170155957-00</t>
  </si>
  <si>
    <t>1973-12-30</t>
  </si>
  <si>
    <t>R87.619 - Unspecified abnormal cytological findings in specimens from cervix uteri</t>
  </si>
  <si>
    <t>220177367-00</t>
  </si>
  <si>
    <t>1997-09-18</t>
  </si>
  <si>
    <t>Obesity</t>
  </si>
  <si>
    <t>O99.214 - Obesity complicating childbirth</t>
  </si>
  <si>
    <t>SLYND</t>
  </si>
  <si>
    <t>190233697-01</t>
  </si>
  <si>
    <t>1999-06-27</t>
  </si>
  <si>
    <t>O69.81x0 - Labor and delivery complicated by cord around neck, without compression, not applicable or unspecified</t>
  </si>
  <si>
    <t>NYSTATIN/TRIAMCINOLONE ACETONIDE</t>
  </si>
  <si>
    <t>170155586-01</t>
  </si>
  <si>
    <t>1973-05-17</t>
  </si>
  <si>
    <t>Nerve and nerve root disorders</t>
  </si>
  <si>
    <t>G56.03 - Carpal tunnel syndrome, bilateral upper limbs</t>
  </si>
  <si>
    <t>CLARITHROMYCIN</t>
  </si>
  <si>
    <t>220130406-00</t>
  </si>
  <si>
    <t>1981-10-02</t>
  </si>
  <si>
    <t>Oct 2023</t>
  </si>
  <si>
    <t>210297742-00</t>
  </si>
  <si>
    <t>1989-07-14</t>
  </si>
  <si>
    <t>Early or threatened labor</t>
  </si>
  <si>
    <t>O42.013 - Preterm premature rupture of membranes, onset of labor within 24 hours of rupture, third trimester</t>
  </si>
  <si>
    <t>ETONOGESTREL/ETHINYL ESTRADIOL</t>
  </si>
  <si>
    <t>170155749-01</t>
  </si>
  <si>
    <t>1970-05-02</t>
  </si>
  <si>
    <t>G43.709 - Chronic migraine without aura, not intractable, without status migrainosus</t>
  </si>
  <si>
    <t>UBRELVY</t>
  </si>
  <si>
    <t>170261992-00</t>
  </si>
  <si>
    <t>1975-04-06</t>
  </si>
  <si>
    <t>Fracture of the upper limb, initial encounter</t>
  </si>
  <si>
    <t>S52.571A - Other intraarticular fracture of lower end of right radius, initial encounter for closed fracture</t>
  </si>
  <si>
    <t>SUTAB</t>
  </si>
  <si>
    <t>170155863-01</t>
  </si>
  <si>
    <t>1965-01-07</t>
  </si>
  <si>
    <t>M75.121 - Complete rotator cuff tear or rupture of right shoulder, not specified as traumatic</t>
  </si>
  <si>
    <t>LURASIDONE HYDROCHLORIDE</t>
  </si>
  <si>
    <t>170155790-03</t>
  </si>
  <si>
    <t>1980-11-03</t>
  </si>
  <si>
    <t>Other specified diseases of veins and lymphatics</t>
  </si>
  <si>
    <t>I88.8 - Other nonspecific lymphadenitis</t>
  </si>
  <si>
    <t>VYVANSE</t>
  </si>
  <si>
    <t>170155917-01</t>
  </si>
  <si>
    <t>1995-12-10</t>
  </si>
  <si>
    <t>O32.0xx0 - Maternal care for unstable lie, not applicable or unspecified</t>
  </si>
  <si>
    <t>170155671-02</t>
  </si>
  <si>
    <t>1964-12-26</t>
  </si>
  <si>
    <t>M75.102 - Unspecified rotator cuff tear or rupture of left shoulder, not specified as traumatic</t>
  </si>
  <si>
    <t>NAPROXEN SODIUM</t>
  </si>
  <si>
    <t>201145351-01</t>
  </si>
  <si>
    <t>2004-06-29</t>
  </si>
  <si>
    <t>D27.0 - Benign neoplasm of right ovary</t>
  </si>
  <si>
    <t>ALBUTEROL SULFATE HFA</t>
  </si>
  <si>
    <t>210134727-00</t>
  </si>
  <si>
    <t>1983-01-05</t>
  </si>
  <si>
    <t>Neurodevelopmental disorders</t>
  </si>
  <si>
    <t>F90.0 - Attention-deficit hyperactivity disorder, predominantly inattentive type</t>
  </si>
  <si>
    <t>170155623-04</t>
  </si>
  <si>
    <t>2002-11-30</t>
  </si>
  <si>
    <t>Appendicitis and other appendiceal conditions</t>
  </si>
  <si>
    <t>K35.30 - Acute appendicitis with localized peritonitis, without perforation or gangrene</t>
  </si>
  <si>
    <t>NITROFURANTOIN MONOHYDRATE</t>
  </si>
  <si>
    <t>230191340-00</t>
  </si>
  <si>
    <t>1987-06-16</t>
  </si>
  <si>
    <t>M76.61 - Achilles tendinitis, right leg</t>
  </si>
  <si>
    <t>170155582-01</t>
  </si>
  <si>
    <t>1951-10-07</t>
  </si>
  <si>
    <t>Skin cancers - basal cell carcinoma</t>
  </si>
  <si>
    <t>C44.519 - Basal cell carcinoma of skin of other part of trunk</t>
  </si>
  <si>
    <t>230086980-01</t>
  </si>
  <si>
    <t>1968-06-24</t>
  </si>
  <si>
    <t>MOUNJARO</t>
  </si>
  <si>
    <t>170155968-00</t>
  </si>
  <si>
    <t>1971-03-24</t>
  </si>
  <si>
    <t>F43.22 - Adjustment disorder with anxiety</t>
  </si>
  <si>
    <t>EMTRICITABINE/TENOFOVIR DISOPROXIL FUMARATE</t>
  </si>
  <si>
    <t>190001681-00</t>
  </si>
  <si>
    <t>1981-07-06</t>
  </si>
  <si>
    <t>TRAZODONE HYDROCHLORIDE</t>
  </si>
  <si>
    <t>201064190-01</t>
  </si>
  <si>
    <t>1993-10-21</t>
  </si>
  <si>
    <t>NORETHINDRONE</t>
  </si>
  <si>
    <t>170156661-01</t>
  </si>
  <si>
    <t>1993-09-02</t>
  </si>
  <si>
    <t>Complications specified during childbirth</t>
  </si>
  <si>
    <t>O99.354 - Diseases of the nervous system complicating childbirth</t>
  </si>
  <si>
    <t>HEATHER</t>
  </si>
  <si>
    <t>201061748-01</t>
  </si>
  <si>
    <t>2001-02-24</t>
  </si>
  <si>
    <t>Allergic reactions</t>
  </si>
  <si>
    <t>L30.9 - Dermatitis, unspecified</t>
  </si>
  <si>
    <t>180176237-02</t>
  </si>
  <si>
    <t>2021-05-13</t>
  </si>
  <si>
    <t>Otitis media</t>
  </si>
  <si>
    <t>H65.31 - Chronic mucoid otitis media, right ear</t>
  </si>
  <si>
    <t>TACROLIMUS</t>
  </si>
  <si>
    <t>170155737-01</t>
  </si>
  <si>
    <t>1982-09-09</t>
  </si>
  <si>
    <t>201035055-00</t>
  </si>
  <si>
    <t>1969-05-09</t>
  </si>
  <si>
    <t>Biomechanical lesions</t>
  </si>
  <si>
    <t>M99.03 - Segmental and somatic dysfunction of lumbar region</t>
  </si>
  <si>
    <t>170155684-00</t>
  </si>
  <si>
    <t>1959-04-10</t>
  </si>
  <si>
    <t>Hematuria</t>
  </si>
  <si>
    <t>R31.9 - Hematuria, unspecified</t>
  </si>
  <si>
    <t>190221962-02</t>
  </si>
  <si>
    <t>2012-09-21</t>
  </si>
  <si>
    <t>E10.9 - Type 1 diabetes mellitus without complications</t>
  </si>
  <si>
    <t>OMNIPOD 5 G6 PODS (GEN 5)</t>
  </si>
  <si>
    <t>220067761-01</t>
  </si>
  <si>
    <t>1961-12-27</t>
  </si>
  <si>
    <t>Abdominal pain and other digestive/abdomen signs and symptoms</t>
  </si>
  <si>
    <t>R19.7 - Diarrhea, unspecified</t>
  </si>
  <si>
    <t>210143836-01</t>
  </si>
  <si>
    <t>1963-05-10</t>
  </si>
  <si>
    <t>I48.19 - Other persistent atrial fibrillation</t>
  </si>
  <si>
    <t>170155797-00</t>
  </si>
  <si>
    <t>1971-09-23</t>
  </si>
  <si>
    <t>Rheumatoid arthritis and related disease</t>
  </si>
  <si>
    <t>M05.9 - Rheumatoid arthritis with rheumatoid factor, unspecified</t>
  </si>
  <si>
    <t>170155648-01</t>
  </si>
  <si>
    <t>1966-11-04</t>
  </si>
  <si>
    <t>M05.79 - Rheumatoid arthritis with rheumatoid factor of multiple sites without organ or systems involvement</t>
  </si>
  <si>
    <t>PROPRANOLOL HYDROCHLORIDEER</t>
  </si>
  <si>
    <t>220081293-01</t>
  </si>
  <si>
    <t>1957-02-25</t>
  </si>
  <si>
    <t>170155587-01</t>
  </si>
  <si>
    <t>2005-03-23</t>
  </si>
  <si>
    <t>LESSINA</t>
  </si>
  <si>
    <t>170155902-00</t>
  </si>
  <si>
    <t>1969-04-24</t>
  </si>
  <si>
    <t>Acquired deformities (excluding foot)</t>
  </si>
  <si>
    <t>M21.831 - Other specified acquired deformities of right forearm</t>
  </si>
  <si>
    <t>ACETAMINOPHEN/CODEINE</t>
  </si>
  <si>
    <t>201008192-00</t>
  </si>
  <si>
    <t>1961-11-23</t>
  </si>
  <si>
    <t>E11.9 - Type 2 diabetes mellitus without complications</t>
  </si>
  <si>
    <t>170155813-01</t>
  </si>
  <si>
    <t>1975-08-07</t>
  </si>
  <si>
    <t>F41.9 - Anxiety disorder, unspecified</t>
  </si>
  <si>
    <t>LOTEMAX</t>
  </si>
  <si>
    <t>220104615-01</t>
  </si>
  <si>
    <t>1985-10-30</t>
  </si>
  <si>
    <t>Fracture of lower limb (except hip), subsequent encounter</t>
  </si>
  <si>
    <t>S82.491K - Other fracture of shaft of right fibula, subsequent encounter for closed fracture with nonunion</t>
  </si>
  <si>
    <t>FLUCONAZOLE</t>
  </si>
  <si>
    <t>220058735-00</t>
  </si>
  <si>
    <t>1991-12-04</t>
  </si>
  <si>
    <t>LEVONORGESTREL/ETHINYL ESTRADIOL</t>
  </si>
  <si>
    <t>VICTOZA</t>
  </si>
  <si>
    <t>210267364-03</t>
  </si>
  <si>
    <t>Certain conditions originating in the perinatal period</t>
  </si>
  <si>
    <t>Liveborn</t>
  </si>
  <si>
    <t>Z38.31 - Twin liveborn infant, delivered by cesarean</t>
  </si>
  <si>
    <t>170155580-00</t>
  </si>
  <si>
    <t>1962-02-24</t>
  </si>
  <si>
    <t>170155879-02</t>
  </si>
  <si>
    <t>1998-08-02</t>
  </si>
  <si>
    <t>O99.02 - Anemia complicating childbirth</t>
  </si>
  <si>
    <t>FLOVENT HFA</t>
  </si>
  <si>
    <t>170155819-00</t>
  </si>
  <si>
    <t>1961-10-27</t>
  </si>
  <si>
    <t>M19.071 - Primary osteoarthritis, right ankle and foot</t>
  </si>
  <si>
    <t>SCOPOLAMINE</t>
  </si>
  <si>
    <t>170155782-02</t>
  </si>
  <si>
    <t>1998-09-04</t>
  </si>
  <si>
    <t>M50.13 - Cervical disc disorder with radiculopathy, cervicothoracic region</t>
  </si>
  <si>
    <t>170155731-01</t>
  </si>
  <si>
    <t>1978-05-30</t>
  </si>
  <si>
    <t>Nervous system signs and symptoms</t>
  </si>
  <si>
    <t>R41.841 - Cognitive communication deficit</t>
  </si>
  <si>
    <t>170155773-00</t>
  </si>
  <si>
    <t>1981-10-07</t>
  </si>
  <si>
    <t>F89 - Unspecified disorder of psychological development</t>
  </si>
  <si>
    <t>SPIRIVA RESPIMAT</t>
  </si>
  <si>
    <t>170155690-00</t>
  </si>
  <si>
    <t>1970-11-27</t>
  </si>
  <si>
    <t>Coronary atherosclerosis and other heart disease</t>
  </si>
  <si>
    <t>I25.10 - Atherosclerotic heart disease of native coronary artery without angina pectoris</t>
  </si>
  <si>
    <t>ALLOPURINOL</t>
  </si>
  <si>
    <t>190120692-00</t>
  </si>
  <si>
    <t>1993-07-02</t>
  </si>
  <si>
    <t>Other specified and unspecified gastrointestinal disorders</t>
  </si>
  <si>
    <t>APLENZIN</t>
  </si>
  <si>
    <t>220235897-01</t>
  </si>
  <si>
    <t>1981-08-09</t>
  </si>
  <si>
    <t>R92.8 - Other abnormal and inconclusive findings on diagnostic imaging of breast</t>
  </si>
  <si>
    <t>210163728-03</t>
  </si>
  <si>
    <t>2019-02-16</t>
  </si>
  <si>
    <t>F90.8 - Attention-deficit hyperactivity disorder, other type</t>
  </si>
  <si>
    <t>ATOMOXETINE HYDROCHLORIDE</t>
  </si>
  <si>
    <t>220140707-01</t>
  </si>
  <si>
    <t>1962-07-10</t>
  </si>
  <si>
    <t>Varicose veins of lower extremity</t>
  </si>
  <si>
    <t>I83.892 - Varicose veins of left lower extremity with other complications</t>
  </si>
  <si>
    <t>ELIQUIS STARTER PACK</t>
  </si>
  <si>
    <t>190083863-01</t>
  </si>
  <si>
    <t>1963-12-04</t>
  </si>
  <si>
    <t>Personal/family history of disease</t>
  </si>
  <si>
    <t>Z87.891 - Personal history of nicotine dependence</t>
  </si>
  <si>
    <t>170155615-01</t>
  </si>
  <si>
    <t>1969-08-05</t>
  </si>
  <si>
    <t>230305973-00</t>
  </si>
  <si>
    <t>1967-12-06</t>
  </si>
  <si>
    <t>R07.9 - Chest pain, unspecified</t>
  </si>
  <si>
    <t>170155757-01</t>
  </si>
  <si>
    <t>1967-03-03</t>
  </si>
  <si>
    <t>R42 - Dizziness and giddiness</t>
  </si>
  <si>
    <t>170155665-01</t>
  </si>
  <si>
    <t>1981-06-12</t>
  </si>
  <si>
    <t>Urinary incontinence</t>
  </si>
  <si>
    <t>N39.3 - Stress incontinence (female) (male)</t>
  </si>
  <si>
    <t>VALACYCLOVIR HYDROCHLORIDE</t>
  </si>
  <si>
    <t>Nov 2023</t>
  </si>
  <si>
    <t>190175618-01</t>
  </si>
  <si>
    <t>1983-11-28</t>
  </si>
  <si>
    <t>BUPROPION HYDROCHLORIDE</t>
  </si>
  <si>
    <t>170155725-01</t>
  </si>
  <si>
    <t>1963-07-18</t>
  </si>
  <si>
    <t>XYOSTED</t>
  </si>
  <si>
    <t>210088601-00</t>
  </si>
  <si>
    <t>1978-08-18</t>
  </si>
  <si>
    <t>Factors influencing health status and contact with health services</t>
  </si>
  <si>
    <t>Neoplasm-related encounters</t>
  </si>
  <si>
    <t>Z30.430 - Encounter for insertion of intrauterine contraceptive device</t>
  </si>
  <si>
    <t>230157052-01</t>
  </si>
  <si>
    <t>1986-07-27</t>
  </si>
  <si>
    <t>Other and ill-defined cerebrovascular disease</t>
  </si>
  <si>
    <t>I67.1 - Cerebral aneurysm, nonruptured</t>
  </si>
  <si>
    <t>170155667-00</t>
  </si>
  <si>
    <t>1968-07-24</t>
  </si>
  <si>
    <t>Male reproductive system cancers - prostate</t>
  </si>
  <si>
    <t>C61 - Malignant neoplasm of prostate</t>
  </si>
  <si>
    <t>170156001-00</t>
  </si>
  <si>
    <t>1977-10-24</t>
  </si>
  <si>
    <t>K50.014 - Crohn's disease of small intestine with abscess</t>
  </si>
  <si>
    <t>OMEPRAZOLE</t>
  </si>
  <si>
    <t>210115177-00</t>
  </si>
  <si>
    <t>1988-07-08</t>
  </si>
  <si>
    <t>Prolonged pregnancy</t>
  </si>
  <si>
    <t>O48.0 - Post-term pregnancy</t>
  </si>
  <si>
    <t>ONDANSETRON HYDROCHLORIDE</t>
  </si>
  <si>
    <t>210267363-00</t>
  </si>
  <si>
    <t>1989-05-10</t>
  </si>
  <si>
    <t>S39.012A - Strain of muscle, fascia and tendon of lower back, initial encounter</t>
  </si>
  <si>
    <t>170155693-00</t>
  </si>
  <si>
    <t>1974-12-04</t>
  </si>
  <si>
    <t>Low back pain</t>
  </si>
  <si>
    <t>M54.50 - Low back pain, unspecified</t>
  </si>
  <si>
    <t>170155667-01</t>
  </si>
  <si>
    <t>1971-02-27</t>
  </si>
  <si>
    <t>COMBIPATCH</t>
  </si>
  <si>
    <t>190075824-00</t>
  </si>
  <si>
    <t>1960-09-25</t>
  </si>
  <si>
    <t>220118546-01</t>
  </si>
  <si>
    <t>1991-12-08</t>
  </si>
  <si>
    <t>O99.513 - Diseases of the respiratory system complicating pregnancy, third trimester</t>
  </si>
  <si>
    <t>RECTIV</t>
  </si>
  <si>
    <t>170155797-01</t>
  </si>
  <si>
    <t>1974-12-20</t>
  </si>
  <si>
    <t>Menopausal disorders</t>
  </si>
  <si>
    <t>J45.30 - Mild persistent asthma, uncomplicated</t>
  </si>
  <si>
    <t>170155813-02</t>
  </si>
  <si>
    <t>2004-09-10</t>
  </si>
  <si>
    <t>S32.029A - Unspecified fracture of second lumbar vertebra, initial encounter for closed fracture</t>
  </si>
  <si>
    <t>CHLORHEXIDINE GLUCONATE</t>
  </si>
  <si>
    <t>170155876-00</t>
  </si>
  <si>
    <t>1959-07-04</t>
  </si>
  <si>
    <t>Diseases of white blood cells</t>
  </si>
  <si>
    <t>D72.820 - Lymphocytosis (symptomatic)</t>
  </si>
  <si>
    <t>220055699-01</t>
  </si>
  <si>
    <t>1990-12-01</t>
  </si>
  <si>
    <t>Uncomplicated pregnancy, delivery or puerperium</t>
  </si>
  <si>
    <t>O28.3 - Abnormal ultrasonic finding on antenatal screening of mother</t>
  </si>
  <si>
    <t>ABRYSVO</t>
  </si>
  <si>
    <t>170155853-00</t>
  </si>
  <si>
    <t>1974-06-27</t>
  </si>
  <si>
    <t>230144640-00</t>
  </si>
  <si>
    <t>1989-12-16</t>
  </si>
  <si>
    <t>F43.9 - Reaction to severe stress, unspecified</t>
  </si>
  <si>
    <t>VILAZODONE HYDROCHLORIDE</t>
  </si>
  <si>
    <t>210052382-01</t>
  </si>
  <si>
    <t>1975-08-24</t>
  </si>
  <si>
    <t>Z12.11 - Encounter for screening for malignant neoplasm of colon</t>
  </si>
  <si>
    <t>VARENICLINE TARTRATE</t>
  </si>
  <si>
    <t>170155717-01</t>
  </si>
  <si>
    <t>1974-08-13</t>
  </si>
  <si>
    <t>TRINTELLIX</t>
  </si>
  <si>
    <t>220032260-00</t>
  </si>
  <si>
    <t>1989-08-23</t>
  </si>
  <si>
    <t>METHYLPREDNISOLONE DOSE PACK</t>
  </si>
  <si>
    <t>170155981-01</t>
  </si>
  <si>
    <t>2016-11-17</t>
  </si>
  <si>
    <t>J45.42 - Moderate persistent asthma with status asthmaticus</t>
  </si>
  <si>
    <t>SYMBICORT</t>
  </si>
  <si>
    <t>170155767-01</t>
  </si>
  <si>
    <t>1971-07-12</t>
  </si>
  <si>
    <t>I87.8 - Other specified disorders of veins</t>
  </si>
  <si>
    <t>NURTEC</t>
  </si>
  <si>
    <t>180153790-02</t>
  </si>
  <si>
    <t>2003-07-20</t>
  </si>
  <si>
    <t>R51.9 - Headache, unspecified</t>
  </si>
  <si>
    <t>TRETINOIN</t>
  </si>
  <si>
    <t>170155659-00</t>
  </si>
  <si>
    <t>1964-09-27</t>
  </si>
  <si>
    <t>Diseases of the skin and subcutaneous tissue</t>
  </si>
  <si>
    <t>Other specified and unspecified skin disorders</t>
  </si>
  <si>
    <t>L57.0 - Actinic keratosis</t>
  </si>
  <si>
    <t>SIROLIMUS</t>
  </si>
  <si>
    <t>170155843-01</t>
  </si>
  <si>
    <t>1990-10-03</t>
  </si>
  <si>
    <t>F43.21 - Adjustment disorder with depressed mood</t>
  </si>
  <si>
    <t>220243522-00</t>
  </si>
  <si>
    <t>1977-10-05</t>
  </si>
  <si>
    <t>LANSOPRAZOLE</t>
  </si>
  <si>
    <t>170155660-00</t>
  </si>
  <si>
    <t>1972-02-12</t>
  </si>
  <si>
    <t>Hemorrhoids</t>
  </si>
  <si>
    <t>K64.0 - First degree hemorrhoids</t>
  </si>
  <si>
    <t>ATORVASTATIN CALCIUM</t>
  </si>
  <si>
    <t>170155997-01</t>
  </si>
  <si>
    <t>1960-01-08</t>
  </si>
  <si>
    <t>Pancreatic disorders (excluding diabetes)</t>
  </si>
  <si>
    <t>K86.89 - Other specified diseases of pancreas</t>
  </si>
  <si>
    <t>TOUJEO SOLOSTAR</t>
  </si>
  <si>
    <t>170155904-01</t>
  </si>
  <si>
    <t>2019-11-18</t>
  </si>
  <si>
    <t>H65.23 - Chronic serous otitis media, bilateral</t>
  </si>
  <si>
    <t>OFLOXACIN</t>
  </si>
  <si>
    <t>190221966-02</t>
  </si>
  <si>
    <t>2019-08-02</t>
  </si>
  <si>
    <t>F88 - Other disorders of psychological development</t>
  </si>
  <si>
    <t>FLUTICASONE PROPIONATE</t>
  </si>
  <si>
    <t>230305972-00</t>
  </si>
  <si>
    <t>1991-01-10</t>
  </si>
  <si>
    <t>Contraceptive and procreative management</t>
  </si>
  <si>
    <t>Z30.2 - Encounter for sterilization</t>
  </si>
  <si>
    <t>240047021-00</t>
  </si>
  <si>
    <t>1962-01-29</t>
  </si>
  <si>
    <t>EVEROLIMUS</t>
  </si>
  <si>
    <t>170155842-01</t>
  </si>
  <si>
    <t>1968-04-05</t>
  </si>
  <si>
    <t>S92.355D - Nondisplaced fracture of fifth metatarsal bone, left foot, subsequent encounter for fracture with routine healing</t>
  </si>
  <si>
    <t>230053372-03</t>
  </si>
  <si>
    <t>2008-02-15</t>
  </si>
  <si>
    <t>M25.561 - Pain in right knee</t>
  </si>
  <si>
    <t>220068040-01</t>
  </si>
  <si>
    <t>1975-12-01</t>
  </si>
  <si>
    <t>S52.211A - Greenstick fracture of shaft of right ulna, initial encounter for closed fracture</t>
  </si>
  <si>
    <t>HYDROCODONE BITARTRATE/ACETAMINOPHEN</t>
  </si>
  <si>
    <t>210267366-00</t>
  </si>
  <si>
    <t>1990-03-03</t>
  </si>
  <si>
    <t>220150541-01</t>
  </si>
  <si>
    <t>1988-08-30</t>
  </si>
  <si>
    <t>G43.009 - Migraine without aura, not intractable, without status migrainosus</t>
  </si>
  <si>
    <t>170155773-01</t>
  </si>
  <si>
    <t>1982-08-05</t>
  </si>
  <si>
    <t>LAMOTRIGINE ER</t>
  </si>
  <si>
    <t>190233697-02</t>
  </si>
  <si>
    <t>2021-12-21</t>
  </si>
  <si>
    <t>K40.90 - Unilateral inguinal hernia, without obstruction or gangrene, not specified as recurrent</t>
  </si>
  <si>
    <t>CEFDINIR</t>
  </si>
  <si>
    <t>180176237-01</t>
  </si>
  <si>
    <t>1995-09-15</t>
  </si>
  <si>
    <t>M79.604 - Pain in right leg</t>
  </si>
  <si>
    <t>MONO-LINYAH</t>
  </si>
  <si>
    <t>170155958-00</t>
  </si>
  <si>
    <t>1960-06-04</t>
  </si>
  <si>
    <t>210040089-03</t>
  </si>
  <si>
    <t>2009-09-18</t>
  </si>
  <si>
    <t>R56.9 - Unspecified convulsions</t>
  </si>
  <si>
    <t>AMANTADINE HCL</t>
  </si>
  <si>
    <t>170156016-03</t>
  </si>
  <si>
    <t>1998-08-06</t>
  </si>
  <si>
    <t>DOXYLAMINE SUCCINATE/PYRIDOXINE HYDROCHLORIDE</t>
  </si>
  <si>
    <t>210134727-02</t>
  </si>
  <si>
    <t>2002-12-31</t>
  </si>
  <si>
    <t>VARENICLINE STARTING MONTH BOX</t>
  </si>
  <si>
    <t>220224337-00</t>
  </si>
  <si>
    <t>1989-09-11</t>
  </si>
  <si>
    <t>JOLESSA</t>
  </si>
  <si>
    <t>190083863-00</t>
  </si>
  <si>
    <t>1963-07-21</t>
  </si>
  <si>
    <t>210193819-03</t>
  </si>
  <si>
    <t>2014-08-19</t>
  </si>
  <si>
    <t>G96.89 - Other specified disorders of central nervous system</t>
  </si>
  <si>
    <t>METHYLPHENIDATE HYDROCHLORIDE CD</t>
  </si>
  <si>
    <t>Query Totals:  194</t>
  </si>
  <si>
    <t>4.75</t>
  </si>
  <si>
    <t>$5,286,078.36</t>
  </si>
  <si>
    <t>$3,406,535.44</t>
  </si>
  <si>
    <t>$8,692,613.80</t>
  </si>
  <si>
    <t>$18,570,645.73</t>
  </si>
  <si>
    <t>$17,837,018.49</t>
  </si>
  <si>
    <t>$9,470,957.16</t>
  </si>
  <si>
    <t>49</t>
  </si>
  <si>
    <t>17,257</t>
  </si>
  <si>
    <t>4,504</t>
  </si>
  <si>
    <t>Report Totals:  194</t>
  </si>
  <si>
    <t>City of Vancouver</t>
  </si>
  <si>
    <t>MEDICAL, Rx &amp; VISION CLAIMS EXPERIENCE (SELF-FUNDED)</t>
  </si>
  <si>
    <t>ALL MEDICAL PLANS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</si>
  <si>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</si>
  <si>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</si>
  <si>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</si>
  <si>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</si>
  <si>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</si>
  <si>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</si>
  <si>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</si>
  <si>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</si>
  <si>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</si>
  <si>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</si>
  <si>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</si>
  <si>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Plan Year</t>
  </si>
  <si>
    <t>Number of Enrolled Employees</t>
  </si>
  <si>
    <t>Total Funding</t>
  </si>
  <si>
    <t>Gross Medical Paid Claims</t>
  </si>
  <si>
    <t>Claims in Excess of $275,000</t>
  </si>
  <si>
    <t>Net Medical 
Paid Claims</t>
  </si>
  <si>
    <t>Rx
Paid Claims</t>
  </si>
  <si>
    <t>Total Net
Paid Claims</t>
  </si>
  <si>
    <t>Fixed
Expenses</t>
  </si>
  <si>
    <t>Net Expenses
(g + h)</t>
  </si>
  <si>
    <t>Total Net Funding Ratio
(i / b)</t>
  </si>
  <si>
    <t>Employer HSA
Contributions</t>
  </si>
  <si>
    <t>Rx Rebate ($)</t>
  </si>
  <si>
    <t>Rx Rebate (%)</t>
  </si>
  <si>
    <t>Jan-23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</si>
  <si>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</si>
  <si>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</si>
  <si>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</si>
  <si>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</si>
  <si>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</si>
  <si>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</si>
  <si>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</si>
  <si>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</si>
  <si>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</si>
  <si>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</si>
  <si>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</si>
  <si>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</si>
  <si>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Jan-24</t>
  </si>
  <si>
    <t>2024 YTD Total</t>
  </si>
  <si>
    <t>2023 YOY Total</t>
  </si>
  <si>
    <t>% Diff vs. Prior YOY</t>
  </si>
  <si>
    <t>(average)</t>
  </si>
  <si>
    <t>2023 Total</t>
  </si>
  <si>
    <t>Recent History</t>
  </si>
  <si>
    <t>Past 3 Months</t>
  </si>
  <si>
    <t>Past 6 Months</t>
  </si>
  <si>
    <t>Past 12 Months</t>
  </si>
  <si>
    <t>ALL MEDICAL PLANS PEPM</t>
  </si>
  <si>
    <t xml:space="preserve">DENTAL CLAIMS EXPERIENCE </t>
  </si>
  <si>
    <t>DENTAL SUMMARY</t>
  </si>
  <si>
    <t>Dental           Paid Claims</t>
  </si>
  <si>
    <t>Fixed       Expenses</t>
  </si>
  <si>
    <t>Net Expenses
( c + d )</t>
  </si>
  <si>
    <t>Total Net Funding Ratio
( e / b )</t>
  </si>
  <si>
    <t>Non-Union Standard &amp; Buy-Up (#00596)</t>
  </si>
  <si>
    <t>2020 Plan Year</t>
  </si>
  <si>
    <t>2024 Plan Year</t>
  </si>
  <si>
    <t>total</t>
  </si>
  <si>
    <t>EC</t>
  </si>
  <si>
    <t>EF</t>
  </si>
  <si>
    <t>FUNDING</t>
  </si>
  <si>
    <t xml:space="preserve">Jul </t>
  </si>
  <si>
    <t>Composite Rates</t>
  </si>
  <si>
    <t>Standard Rates</t>
  </si>
  <si>
    <t>Buy-Up Rates</t>
  </si>
  <si>
    <t>Union Standard &amp; Buy-Up (#00854)</t>
  </si>
  <si>
    <t>Pensioners (#00996)</t>
  </si>
  <si>
    <t>Rates</t>
  </si>
  <si>
    <t>DENTAL SUMMARY - PER EMPLOYEE PER MONTH (PEPM) SUMMARY</t>
  </si>
  <si>
    <t>Total                     Funding</t>
  </si>
  <si>
    <t>Expenses             ( c + d )</t>
  </si>
  <si>
    <t xml:space="preserve">VISION CLAIMS EXPERIENCE </t>
  </si>
  <si>
    <t>VISION SUMMARY</t>
  </si>
  <si>
    <t>Vision
Paid Claims</t>
  </si>
  <si>
    <t>Admin</t>
  </si>
  <si>
    <t>VISION SUMMARY - PER EMPLOYEE PER MONTH (PEPM) SUMMARY</t>
  </si>
  <si>
    <t>Increase in Benefit</t>
  </si>
  <si>
    <t>Decrease in Benefit</t>
  </si>
  <si>
    <t>Benefits</t>
  </si>
  <si>
    <t>Current Kaiser HMO
Current/Renewal</t>
  </si>
  <si>
    <t>2024 Kaiser 
Opt 1 Ded Plan A 250/15/20/2500</t>
  </si>
  <si>
    <t>2025 Kaiser 
Opt 1 Ded Plan  200/20/20/2000</t>
  </si>
  <si>
    <t>Current Regence PPO Including VSP Vision
Current/Renewal</t>
  </si>
  <si>
    <t>2025 Regence 
Option 1: $30 copays, $400 Ded $2800 OOP</t>
  </si>
  <si>
    <t>2024 Regence 
Option 2: $25/$35 copay, $400 Ded $2500 OOP</t>
  </si>
  <si>
    <t>2024 Regence 
Option 3: $30/$40 copay, $400 Ded $2500 OOP</t>
  </si>
  <si>
    <t>Deductible</t>
  </si>
  <si>
    <t xml:space="preserve">      Individual</t>
  </si>
  <si>
    <t xml:space="preserve">      Family </t>
  </si>
  <si>
    <t>Out of Pocket Maximums</t>
  </si>
  <si>
    <t xml:space="preserve">      Family</t>
  </si>
  <si>
    <t>Office Visits</t>
  </si>
  <si>
    <t>Preventive Care Office Visits</t>
  </si>
  <si>
    <t>Primary Care</t>
  </si>
  <si>
    <t>Specialty Care</t>
  </si>
  <si>
    <t>Urgent Care</t>
  </si>
  <si>
    <t>Test (outpatient)</t>
  </si>
  <si>
    <t>OOP</t>
  </si>
  <si>
    <t xml:space="preserve">Simple X-ray and Lab </t>
  </si>
  <si>
    <t>$20 per department visit</t>
  </si>
  <si>
    <t>$15 per department visit</t>
  </si>
  <si>
    <t>10% coinsurance after ded</t>
  </si>
  <si>
    <t>Ded</t>
  </si>
  <si>
    <t>CT, MRI, PET Scans</t>
  </si>
  <si>
    <t>$100 per department visit</t>
  </si>
  <si>
    <t>Hospital Services</t>
  </si>
  <si>
    <t>2024 Renewal Increase</t>
  </si>
  <si>
    <t>Ambulance</t>
  </si>
  <si>
    <t>20% coinsurance after ded</t>
  </si>
  <si>
    <t xml:space="preserve">Emergency Department </t>
  </si>
  <si>
    <t>$250, 20%</t>
  </si>
  <si>
    <t>Option 1</t>
  </si>
  <si>
    <t>Opt 2</t>
  </si>
  <si>
    <t>Opt 3</t>
  </si>
  <si>
    <t>Inpatient Hospitalization</t>
  </si>
  <si>
    <t>$200 per day up to $1,000
per admission</t>
  </si>
  <si>
    <t>$25/35</t>
  </si>
  <si>
    <t>Outpatient Services (other)</t>
  </si>
  <si>
    <t>$30/40</t>
  </si>
  <si>
    <t>Outpatient surgery visit</t>
  </si>
  <si>
    <t>Durable medical equipment</t>
  </si>
  <si>
    <t xml:space="preserve">Alternative Care </t>
  </si>
  <si>
    <t>total decrease</t>
  </si>
  <si>
    <t>Acupuncture Services</t>
  </si>
  <si>
    <t>$20
12 visits</t>
  </si>
  <si>
    <t>$15
12 visits</t>
  </si>
  <si>
    <t>$20
Unlimited visits</t>
  </si>
  <si>
    <t>$20
12 Visits per year</t>
  </si>
  <si>
    <t>Chiropractic Services</t>
  </si>
  <si>
    <t>Massage Therapy</t>
  </si>
  <si>
    <t>$20
Medically Necessary Only</t>
  </si>
  <si>
    <t xml:space="preserve">Prescription Drug </t>
  </si>
  <si>
    <t>Generic</t>
  </si>
  <si>
    <t>Preferred Brand</t>
  </si>
  <si>
    <t>Non-Preferred Brand</t>
  </si>
  <si>
    <t>Specialty Drugs</t>
  </si>
  <si>
    <t>By Tier</t>
  </si>
  <si>
    <t>Kaiser Enrollment</t>
  </si>
  <si>
    <t>2024 - Option 1</t>
  </si>
  <si>
    <t>2025 - Option 1</t>
  </si>
  <si>
    <t>Regence Enrollment</t>
  </si>
  <si>
    <t>2025 - Option 2</t>
  </si>
  <si>
    <t>2025 - Option 3</t>
  </si>
  <si>
    <t>EE only</t>
  </si>
  <si>
    <t>EE + Spouse</t>
  </si>
  <si>
    <t>EE + Child(ren)</t>
  </si>
  <si>
    <t>EE + Family</t>
  </si>
  <si>
    <t>Total Annual Cost</t>
  </si>
  <si>
    <t>$ Change from Current</t>
  </si>
  <si>
    <t>% Change from Current</t>
  </si>
  <si>
    <t>Current Kaiser HDHP
Current/Renewal</t>
  </si>
  <si>
    <t>Covered in full</t>
  </si>
  <si>
    <t>20%
12 visits</t>
  </si>
  <si>
    <t>20%
Unlimited visits</t>
  </si>
  <si>
    <t>$10, after ded</t>
  </si>
  <si>
    <t>$20, after ded</t>
  </si>
  <si>
    <t xml:space="preserve">Applicable Generic or Preferred brand drug cost shares apply. </t>
  </si>
  <si>
    <t>Applicable Generic or Preferred brand drug cost shares apply.</t>
  </si>
  <si>
    <t>Kaiser Opt 2
Ded Plan B 500/20/10%/$3000</t>
  </si>
  <si>
    <t>Regence Option 1: $20 copay, $500 Ded $2600 OOP</t>
  </si>
  <si>
    <t>Regence Option 2: $25/$35 copay, $500 Ded $2600 OOP</t>
  </si>
  <si>
    <t>Regence Option 3: $30/$40 copay, $500 Ded $2600 OOP</t>
  </si>
  <si>
    <t>Regence Option 4: $30/$40 copay, $500 Ded $3000 OOP</t>
  </si>
  <si>
    <t>Regence Option 5: $30/$40 copay, $500 Ded $4000 OOP</t>
  </si>
  <si>
    <t>Regence Option 6: $30/$40 copay, $500 Ded $5000 OOP</t>
  </si>
  <si>
    <t>Regence Option 7: $30/$40 copay, $750 Ded $3000 OOP</t>
  </si>
  <si>
    <t>Regence Option 8: $30/$40 copay, $750 Ded $4000 OOP</t>
  </si>
  <si>
    <t>Regence Option 9: $30/$40 copay, $750 Ded $5000 OOP</t>
  </si>
  <si>
    <t>$20 per department</t>
  </si>
  <si>
    <t>$100 per department</t>
  </si>
  <si>
    <t>10% after ded</t>
  </si>
  <si>
    <t>Opt 4</t>
  </si>
  <si>
    <t>Opt 5</t>
  </si>
  <si>
    <t>Opt 6</t>
  </si>
  <si>
    <t>Opt 7</t>
  </si>
  <si>
    <t>Opt 8</t>
  </si>
  <si>
    <t>Opt 9</t>
  </si>
  <si>
    <t>20% after ded</t>
  </si>
  <si>
    <t>$20
Medically Necessary</t>
  </si>
  <si>
    <t>2024 - Option 2</t>
  </si>
  <si>
    <t>2025 - Option 4</t>
  </si>
  <si>
    <t>2025 - Option 5</t>
  </si>
  <si>
    <t>2025 - Option 6</t>
  </si>
  <si>
    <t>2025 - Option 7</t>
  </si>
  <si>
    <t>2025 - Option 8</t>
  </si>
  <si>
    <t>2025 - Option 9</t>
  </si>
  <si>
    <t>Regence PPO w/VSP</t>
  </si>
  <si>
    <t>2024 Employee Contributions</t>
  </si>
  <si>
    <t>2025 Employee Contributions</t>
  </si>
  <si>
    <t>Option 2</t>
  </si>
  <si>
    <t>Option 3</t>
  </si>
  <si>
    <t>Same as current % w/out one-time extra 2024 CoV contribution</t>
  </si>
  <si>
    <t xml:space="preserve">EE's -EE </t>
  </si>
  <si>
    <t>EE's -Dep's</t>
  </si>
  <si>
    <t>ER Pays</t>
  </si>
  <si>
    <t>EE Pays</t>
  </si>
  <si>
    <t>Current EE %</t>
  </si>
  <si>
    <t>EE $ Change</t>
  </si>
  <si>
    <t>EE % Change</t>
  </si>
  <si>
    <t>As-Is Renewal</t>
  </si>
  <si>
    <t>Over Renewal</t>
  </si>
  <si>
    <t>Employee</t>
  </si>
  <si>
    <t>Employee &amp; Spouse</t>
  </si>
  <si>
    <t>Employee &amp; Child(ren)</t>
  </si>
  <si>
    <t>Employee &amp; Family</t>
  </si>
  <si>
    <t>Total Monthly</t>
  </si>
  <si>
    <t>Total Annualized</t>
  </si>
  <si>
    <t>Change over current %</t>
  </si>
  <si>
    <t>Change over current $</t>
  </si>
  <si>
    <t>Change over Renewal $</t>
  </si>
  <si>
    <t>$400 Ded w/$30 copay/OOP $2,800</t>
  </si>
  <si>
    <t>$400 Ded w/$25 copay</t>
  </si>
  <si>
    <t>$400 Ded w/$30 copay</t>
  </si>
  <si>
    <t>$500 Ded w/$20 copay</t>
  </si>
  <si>
    <t>$500 Ded w/$25 copay</t>
  </si>
  <si>
    <t>$500 Ded w/$30 copay</t>
  </si>
  <si>
    <t>Regence HSA  w/VSP</t>
  </si>
  <si>
    <t>OOP $6,000 / $12,000</t>
  </si>
  <si>
    <t>Kaiser HMO w/Option</t>
  </si>
  <si>
    <t xml:space="preserve">$200 Ded w/$20/10% </t>
  </si>
  <si>
    <t>Kaiser HSA</t>
  </si>
  <si>
    <t>5/20% EE Contributions</t>
  </si>
  <si>
    <t>OOP $4,425 / $6,850</t>
  </si>
  <si>
    <t>es</t>
  </si>
  <si>
    <t xml:space="preserve">City of Vancouver
2025 FULL TIME MONTHLY HEALTH INSURANCE PREMIUMS
Non-Union, JLC, AFSCME, Fire Dept Guild, Directors, and Council
</t>
  </si>
  <si>
    <t>Changing Plan Design AND Changing to New Contribution Structure; 
Employee Only (not adding dependents) = 10% of Total Employee Only Premium
Employees Adding Dependents in Any Tier is 20% of the balance after the Employee Only Portion is Taken out of the Total Premium</t>
  </si>
  <si>
    <t>Insurance Options:</t>
  </si>
  <si>
    <t>Total Cost</t>
  </si>
  <si>
    <t>City Monthly Contribution</t>
  </si>
  <si>
    <t>Employee Monthly Premium</t>
  </si>
  <si>
    <r>
      <rPr>
        <b/>
        <sz val="11"/>
        <color rgb="FF000000"/>
        <rFont val="Avenir Next LT Pro"/>
      </rPr>
      <t xml:space="preserve">Employee Monthly Premium Change </t>
    </r>
    <r>
      <rPr>
        <b/>
        <i/>
        <sz val="11"/>
        <color rgb="FF000000"/>
        <rFont val="Avenir Next LT Pro"/>
      </rPr>
      <t>(from 2024)</t>
    </r>
  </si>
  <si>
    <t>Regence PPO w/ VSP vision $400 Ded Plan 10%/20%</t>
  </si>
  <si>
    <t>Employee Only</t>
  </si>
  <si>
    <t>Family</t>
  </si>
  <si>
    <t>Regence PPO HSA w/ VSP vision (Increasing OOP Max) 10%/20%</t>
  </si>
  <si>
    <t>Kaiser HMO $200 Ded Plan 10%/20%</t>
  </si>
  <si>
    <t>Kaiser HSA (Increasing OOP Max) 10/%20%</t>
  </si>
  <si>
    <t>Changing Plan Design AND Changing to New Contribution Structure; 
Employee Only (not adding dependents) = 10% of Total Employee Only Premium
PPO and HMO: Employees Adding Dependents in Any Tier is 20% of the balance after the Employee Only Portion is Taken out of the Total Premium
HSA Plans: Employees Adding Dependents in Any Tier is 15% of the balance after the Employee Only Portion is taken out of the Total Premium</t>
  </si>
  <si>
    <t>Regence PPO HSA w/ VSP vision (Increasing OOP Max) 10%/15%</t>
  </si>
  <si>
    <t>Kaiser HMO $200 Ded Plan 10%20%</t>
  </si>
  <si>
    <t>Kaiser HSA (Increasing OOP Max) 10%/15%</t>
  </si>
  <si>
    <t>CURRENT
2024 City Annual Cost (net Employee Cost)</t>
  </si>
  <si>
    <r>
      <rPr>
        <b/>
        <sz val="11"/>
        <color rgb="FF000000"/>
        <rFont val="Avenir Next LT Pro"/>
      </rPr>
      <t xml:space="preserve">EST. RENEWAL
2025 City Annual Cost
</t>
    </r>
    <r>
      <rPr>
        <b/>
        <i/>
        <sz val="11"/>
        <color rgb="FF000000"/>
        <rFont val="Avenir Next LT Pro"/>
      </rPr>
      <t>Making NO Plan Changes</t>
    </r>
  </si>
  <si>
    <t>Change from Current</t>
  </si>
  <si>
    <r>
      <rPr>
        <b/>
        <sz val="11"/>
        <color rgb="FF000000"/>
        <rFont val="Avenir Next LT Pro"/>
      </rPr>
      <t xml:space="preserve">2025 City Annual Cost
</t>
    </r>
    <r>
      <rPr>
        <b/>
        <i/>
        <sz val="11"/>
        <color rgb="FF000000"/>
        <rFont val="Avenir Next LT Pro"/>
      </rPr>
      <t>Making Plan Changes and Contribution Changes</t>
    </r>
  </si>
  <si>
    <t>Change from Renewal</t>
  </si>
  <si>
    <t>Estimated Annual</t>
  </si>
  <si>
    <t>Kaiser HSA (Increasing OOP Max) 10/%/15%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</si>
</sst>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General_);[Red]\-General_)"/>
    <numFmt numFmtId="166" formatCode="##."/>
    <numFmt numFmtId="167" formatCode="General_)"/>
    <numFmt numFmtId="168" formatCode="&quot;$&quot;#,##0.00"/>
    <numFmt numFmtId="169" formatCode="&quot;$&quot;#,##0"/>
    <numFmt numFmtId="170" formatCode="_(&quot;$&quot;* #,##0_);_(&quot;$&quot;* \(#,##0\);_(&quot;$&quot;* &quot;-&quot;??_);_(@_)"/>
    <numFmt numFmtId="171" formatCode="mmm"/>
    <numFmt numFmtId="172" formatCode="[$-409]mmm\-yy;@"/>
    <numFmt numFmtId="173" formatCode="\$#,##0.00"/>
    <numFmt numFmtId="174" formatCode="\$0.00"/>
  </numFmts>
  <fonts count="127">
    <font>
      <sz val="11"/>
      <color theme="1"/>
      <name val="Avenir Next LT Pro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venir Next LT Pro"/>
      <family val="2"/>
      <scheme val="minor"/>
    </font>
    <font>
      <b/>
      <sz val="16"/>
      <color theme="1"/>
      <name val="Avenir Next LT Pro"/>
      <family val="2"/>
      <scheme val="minor"/>
    </font>
    <font>
      <sz val="11"/>
      <color rgb="FFFF0000"/>
      <name val="Avenir Next LT Pro"/>
      <family val="2"/>
      <scheme val="minor"/>
    </font>
    <font>
      <sz val="9"/>
      <color theme="1"/>
      <name val="Avenir Next LT Pro"/>
      <family val="2"/>
      <scheme val="minor"/>
    </font>
    <font>
      <sz val="12"/>
      <name val="HLV"/>
    </font>
    <font>
      <sz val="12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Helv"/>
    </font>
    <font>
      <b/>
      <sz val="11"/>
      <name val="Arial"/>
      <family val="2"/>
    </font>
    <font>
      <sz val="11"/>
      <name val="Arial"/>
      <family val="2"/>
    </font>
    <font>
      <sz val="14"/>
      <color rgb="FFFF0000"/>
      <name val="Arial"/>
      <family val="2"/>
    </font>
    <font>
      <b/>
      <sz val="16"/>
      <color theme="4" tint="-0.249977111117893"/>
      <name val="Arial"/>
      <family val="2"/>
    </font>
    <font>
      <sz val="14"/>
      <color theme="1"/>
      <name val="Arial"/>
      <family val="2"/>
    </font>
    <font>
      <sz val="14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6"/>
      <color theme="0"/>
      <name val="Arial"/>
      <family val="2"/>
    </font>
    <font>
      <b/>
      <sz val="11"/>
      <color theme="1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color theme="0"/>
      <name val="Arial"/>
      <family val="2"/>
    </font>
    <font>
      <sz val="10"/>
      <color indexed="10"/>
      <name val="Times New Roman"/>
      <family val="1"/>
    </font>
    <font>
      <sz val="10"/>
      <color indexed="10"/>
      <name val="Arial"/>
      <family val="2"/>
    </font>
    <font>
      <b/>
      <sz val="14"/>
      <color indexed="62"/>
      <name val="Arial"/>
      <family val="2"/>
    </font>
    <font>
      <b/>
      <sz val="14"/>
      <color indexed="62"/>
      <name val="Times New Roman"/>
      <family val="1"/>
    </font>
    <font>
      <b/>
      <sz val="10"/>
      <color indexed="6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color theme="1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i/>
      <sz val="10"/>
      <name val="Times New Roman"/>
      <family val="1"/>
    </font>
    <font>
      <sz val="10"/>
      <color rgb="FFFF0000"/>
      <name val="Times New Roman"/>
      <family val="1"/>
    </font>
    <font>
      <b/>
      <sz val="22"/>
      <color theme="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9"/>
      <color theme="1"/>
      <name val="Avenir Next LT Pro"/>
      <family val="2"/>
      <scheme val="minor"/>
    </font>
    <font>
      <sz val="9"/>
      <name val="Avenir Next LT Pro"/>
      <family val="2"/>
      <scheme val="minor"/>
    </font>
    <font>
      <i/>
      <sz val="9"/>
      <color theme="1"/>
      <name val="Avenir Next LT Pro"/>
      <family val="2"/>
      <scheme val="minor"/>
    </font>
    <font>
      <sz val="9"/>
      <color rgb="FFFF0000"/>
      <name val="Avenir Next LT Pro"/>
      <family val="2"/>
      <scheme val="minor"/>
    </font>
    <font>
      <b/>
      <i/>
      <sz val="9"/>
      <name val="Avenir Next LT Pro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sz val="11"/>
      <color theme="0"/>
      <name val="Avenir Next LT Pro"/>
      <family val="2"/>
      <scheme val="minor"/>
    </font>
    <font>
      <b/>
      <i/>
      <sz val="11"/>
      <color theme="1"/>
      <name val="Arial"/>
      <family val="2"/>
    </font>
    <font>
      <b/>
      <i/>
      <sz val="14"/>
      <color theme="0"/>
      <name val="Arial"/>
      <family val="2"/>
    </font>
    <font>
      <i/>
      <sz val="11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0"/>
      <name val="Arial"/>
      <family val="2"/>
    </font>
    <font>
      <b/>
      <i/>
      <sz val="9"/>
      <color theme="0"/>
      <name val="Arial"/>
      <family val="2"/>
    </font>
    <font>
      <b/>
      <sz val="11"/>
      <color rgb="FFFF0000"/>
      <name val="Arial"/>
      <family val="2"/>
    </font>
    <font>
      <b/>
      <i/>
      <sz val="8"/>
      <name val="Arial"/>
      <family val="2"/>
    </font>
    <font>
      <b/>
      <sz val="12"/>
      <color theme="4" tint="-0.499984740745262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b/>
      <i/>
      <sz val="9"/>
      <color rgb="FF0070C0"/>
      <name val="Arial"/>
      <family val="2"/>
    </font>
    <font>
      <b/>
      <sz val="12"/>
      <color rgb="FF0070C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i/>
      <sz val="11"/>
      <name val="Arial"/>
      <family val="2"/>
    </font>
    <font>
      <b/>
      <sz val="11"/>
      <color theme="3"/>
      <name val="Avenir Next LT Pro"/>
      <family val="2"/>
      <scheme val="minor"/>
    </font>
    <font>
      <b/>
      <sz val="11"/>
      <color theme="0"/>
      <name val="Avenir Next LT Pro"/>
      <family val="2"/>
      <scheme val="minor"/>
    </font>
    <font>
      <b/>
      <sz val="11"/>
      <color theme="1"/>
      <name val="Avenir Next LT Pro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Avenir Next LT Pro"/>
      <family val="2"/>
      <scheme val="minor"/>
    </font>
    <font>
      <b/>
      <sz val="11"/>
      <name val="Avenir Next LT Pro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4" tint="-0.499984740745262"/>
      <name val="MarkPro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4"/>
      <color theme="0"/>
      <name val="Avenir Next LT Pro"/>
      <family val="2"/>
      <scheme val="minor"/>
    </font>
    <font>
      <u/>
      <sz val="10"/>
      <name val="Arial"/>
      <family val="2"/>
    </font>
    <font>
      <sz val="10"/>
      <name val="MarkPro"/>
      <family val="2"/>
    </font>
    <font>
      <sz val="9"/>
      <name val="Lato regular"/>
    </font>
    <font>
      <sz val="9"/>
      <name val="MarkPro"/>
      <family val="2"/>
    </font>
    <font>
      <sz val="14"/>
      <color theme="1"/>
      <name val="Avenir Next LT Pro"/>
      <family val="2"/>
      <scheme val="minor"/>
    </font>
    <font>
      <b/>
      <i/>
      <sz val="14"/>
      <name val="Avenir Next LT Pro"/>
      <family val="2"/>
      <scheme val="minor"/>
    </font>
    <font>
      <b/>
      <i/>
      <sz val="10"/>
      <color theme="0"/>
      <name val="Avenir Next LT Pro"/>
      <family val="2"/>
      <scheme val="minor"/>
    </font>
    <font>
      <b/>
      <i/>
      <sz val="10"/>
      <name val="Avenir Next LT Pro"/>
      <family val="2"/>
      <scheme val="minor"/>
    </font>
    <font>
      <b/>
      <i/>
      <sz val="11"/>
      <name val="Avenir Next LT Pro"/>
      <family val="2"/>
      <scheme val="minor"/>
    </font>
    <font>
      <sz val="11"/>
      <color theme="1"/>
      <name val="MarkPro"/>
      <family val="2"/>
    </font>
    <font>
      <i/>
      <sz val="16"/>
      <name val="HelveticaNeueLT Std Lt"/>
      <family val="2"/>
    </font>
    <font>
      <sz val="11"/>
      <color theme="0"/>
      <name val="Avenir Next LT Pro Demi"/>
      <family val="2"/>
    </font>
    <font>
      <sz val="11"/>
      <color theme="3"/>
      <name val="Avenir Next LT Pro"/>
      <family val="2"/>
      <scheme val="minor"/>
    </font>
    <font>
      <sz val="8"/>
      <name val="Avenir Next LT Pro"/>
      <family val="2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9"/>
      <color rgb="FF000000"/>
      <name val="Arial"/>
      <family val="2"/>
    </font>
    <font>
      <sz val="11"/>
      <color rgb="FF000000"/>
      <name val="Avenir Next LT Pro"/>
      <family val="2"/>
      <scheme val="minor"/>
    </font>
    <font>
      <b/>
      <i/>
      <sz val="11"/>
      <color rgb="FF000000"/>
      <name val="Avenir Next LT Pro"/>
      <family val="2"/>
      <scheme val="minor"/>
    </font>
    <font>
      <sz val="11"/>
      <color theme="1"/>
      <name val="Avenir Next LT Pro"/>
      <scheme val="minor"/>
    </font>
    <font>
      <b/>
      <sz val="11"/>
      <name val="Avenir Next LT Pro"/>
      <scheme val="minor"/>
    </font>
    <font>
      <sz val="11"/>
      <name val="Avenir Next LT Pro"/>
      <scheme val="minor"/>
    </font>
    <font>
      <sz val="11"/>
      <color rgb="FF000000"/>
      <name val="Avenir Next LT Pro"/>
      <scheme val="minor"/>
    </font>
    <font>
      <b/>
      <sz val="11"/>
      <color rgb="FF000000"/>
      <name val="Avenir Next LT Pro"/>
      <scheme val="minor"/>
    </font>
    <font>
      <b/>
      <sz val="11"/>
      <color rgb="FF000000"/>
      <name val="Avenir Next LT Pro"/>
    </font>
    <font>
      <b/>
      <i/>
      <sz val="11"/>
      <color rgb="FF000000"/>
      <name val="Avenir Next LT Pro"/>
    </font>
    <font>
      <b/>
      <sz val="11"/>
      <color rgb="FF000000"/>
      <name val="Tw Cen MT"/>
    </font>
    <font>
      <b/>
      <sz val="11"/>
      <color rgb="FF000000"/>
      <name val="Avenir Next LT Pro"/>
      <family val="2"/>
      <scheme val="minor"/>
    </font>
    <font>
      <b/>
      <sz val="11"/>
      <color rgb="FFFF0000"/>
      <name val="Avenir Next LT Pro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8"/>
      </patternFill>
    </fill>
    <fill>
      <patternFill patternType="solid">
        <fgColor theme="4"/>
        <bgColor indexed="64"/>
      </patternFill>
    </fill>
    <fill>
      <gradientFill degree="180">
        <stop position="0">
          <color theme="0"/>
        </stop>
        <stop position="1">
          <color rgb="FF375577"/>
        </stop>
      </gradientFill>
    </fill>
    <fill>
      <patternFill patternType="solid">
        <fgColor rgb="FFC1CBD5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50958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BF3"/>
        <bgColor indexed="64"/>
      </patternFill>
    </fill>
    <fill>
      <patternFill patternType="solid">
        <fgColor rgb="FFBDD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AA5D9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DDF2EE"/>
        <bgColor indexed="64"/>
      </patternFill>
    </fill>
    <fill>
      <patternFill patternType="solid">
        <fgColor rgb="FFEBE4E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rgb="FFF1F1F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rgb="FF4AA5D9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" fillId="0" borderId="0"/>
    <xf numFmtId="0" fontId="9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44" fontId="18" fillId="0" borderId="0" applyFont="0" applyFill="0" applyBorder="0" applyAlignment="0" applyProtection="0"/>
    <xf numFmtId="0" fontId="9" fillId="0" borderId="0"/>
    <xf numFmtId="167" fontId="23" fillId="4" borderId="3"/>
    <xf numFmtId="0" fontId="22" fillId="0" borderId="0"/>
    <xf numFmtId="9" fontId="22" fillId="0" borderId="0" applyFont="0" applyFill="0" applyBorder="0" applyAlignment="0" applyProtection="0"/>
    <xf numFmtId="0" fontId="18" fillId="0" borderId="0"/>
    <xf numFmtId="0" fontId="18" fillId="0" borderId="0">
      <alignment wrapText="1"/>
    </xf>
    <xf numFmtId="0" fontId="9" fillId="0" borderId="0"/>
    <xf numFmtId="44" fontId="4" fillId="0" borderId="0" applyFont="0" applyFill="0" applyBorder="0" applyAlignment="0" applyProtection="0"/>
    <xf numFmtId="0" fontId="34" fillId="0" borderId="0"/>
    <xf numFmtId="0" fontId="4" fillId="0" borderId="0"/>
    <xf numFmtId="0" fontId="18" fillId="0" borderId="0">
      <alignment wrapText="1"/>
    </xf>
    <xf numFmtId="0" fontId="18" fillId="0" borderId="0">
      <alignment wrapText="1"/>
    </xf>
    <xf numFmtId="0" fontId="4" fillId="0" borderId="0"/>
    <xf numFmtId="0" fontId="18" fillId="0" borderId="0">
      <alignment wrapText="1"/>
    </xf>
    <xf numFmtId="0" fontId="3" fillId="0" borderId="0"/>
    <xf numFmtId="44" fontId="18" fillId="0" borderId="0" applyFont="0" applyFill="0" applyBorder="0" applyAlignment="0" applyProtection="0">
      <alignment wrapText="1"/>
    </xf>
    <xf numFmtId="44" fontId="18" fillId="0" borderId="0" applyFont="0" applyFill="0" applyBorder="0" applyAlignment="0" applyProtection="0">
      <alignment wrapText="1"/>
    </xf>
    <xf numFmtId="0" fontId="88" fillId="0" borderId="0"/>
    <xf numFmtId="49" fontId="91" fillId="13" borderId="58" applyProtection="0">
      <alignment horizontal="right" vertical="top"/>
    </xf>
    <xf numFmtId="4" fontId="91" fillId="13" borderId="58" applyProtection="0">
      <alignment horizontal="right" vertical="top"/>
    </xf>
    <xf numFmtId="173" fontId="91" fillId="13" borderId="58" applyProtection="0">
      <alignment horizontal="right" vertical="top"/>
    </xf>
    <xf numFmtId="1" fontId="91" fillId="13" borderId="58" applyProtection="0">
      <alignment horizontal="right" vertical="top"/>
    </xf>
    <xf numFmtId="49" fontId="91" fillId="14" borderId="58" applyProtection="0">
      <alignment horizontal="right" vertical="top"/>
    </xf>
    <xf numFmtId="4" fontId="91" fillId="14" borderId="58" applyProtection="0">
      <alignment horizontal="right" vertical="top"/>
    </xf>
    <xf numFmtId="173" fontId="91" fillId="14" borderId="58" applyProtection="0">
      <alignment horizontal="right" vertical="top"/>
    </xf>
    <xf numFmtId="1" fontId="91" fillId="14" borderId="58" applyProtection="0">
      <alignment horizontal="right" vertical="top"/>
    </xf>
    <xf numFmtId="0" fontId="44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9" fontId="106" fillId="0" borderId="0" applyFont="0" applyFill="0" applyBorder="0" applyAlignment="0" applyProtection="0"/>
    <xf numFmtId="0" fontId="106" fillId="0" borderId="0"/>
  </cellStyleXfs>
  <cellXfs count="1264">
    <xf numFmtId="0" fontId="0" fillId="0" borderId="0" xfId="0"/>
    <xf numFmtId="0" fontId="5" fillId="0" borderId="0" xfId="0" applyFont="1"/>
    <xf numFmtId="165" fontId="9" fillId="0" borderId="0" xfId="3" applyFont="1"/>
    <xf numFmtId="165" fontId="9" fillId="0" borderId="1" xfId="3" applyFont="1" applyBorder="1"/>
    <xf numFmtId="17" fontId="9" fillId="0" borderId="0" xfId="3" applyNumberFormat="1" applyFont="1"/>
    <xf numFmtId="165" fontId="12" fillId="0" borderId="0" xfId="3" applyFont="1"/>
    <xf numFmtId="165" fontId="14" fillId="0" borderId="0" xfId="3" applyFont="1"/>
    <xf numFmtId="37" fontId="9" fillId="0" borderId="0" xfId="3" applyNumberFormat="1" applyFont="1"/>
    <xf numFmtId="5" fontId="9" fillId="0" borderId="0" xfId="3" applyNumberFormat="1" applyFont="1"/>
    <xf numFmtId="38" fontId="9" fillId="0" borderId="0" xfId="3" applyNumberFormat="1" applyFont="1"/>
    <xf numFmtId="165" fontId="9" fillId="0" borderId="0" xfId="3" quotePrefix="1" applyFont="1"/>
    <xf numFmtId="7" fontId="9" fillId="0" borderId="0" xfId="3" applyNumberFormat="1" applyFont="1" applyAlignment="1">
      <alignment horizontal="center"/>
    </xf>
    <xf numFmtId="165" fontId="17" fillId="0" borderId="0" xfId="3" applyFont="1"/>
    <xf numFmtId="5" fontId="14" fillId="2" borderId="0" xfId="3" applyNumberFormat="1" applyFont="1" applyFill="1" applyAlignment="1">
      <alignment horizontal="left"/>
    </xf>
    <xf numFmtId="165" fontId="14" fillId="2" borderId="0" xfId="3" applyFont="1" applyFill="1"/>
    <xf numFmtId="165" fontId="14" fillId="2" borderId="0" xfId="3" applyFont="1" applyFill="1" applyAlignment="1">
      <alignment horizontal="left"/>
    </xf>
    <xf numFmtId="165" fontId="9" fillId="2" borderId="0" xfId="3" applyFont="1" applyFill="1"/>
    <xf numFmtId="165" fontId="27" fillId="2" borderId="0" xfId="3" applyFont="1" applyFill="1"/>
    <xf numFmtId="165" fontId="10" fillId="2" borderId="0" xfId="3" applyFont="1" applyFill="1" applyAlignment="1">
      <alignment horizontal="left"/>
    </xf>
    <xf numFmtId="165" fontId="9" fillId="2" borderId="0" xfId="3" applyFont="1" applyFill="1" applyAlignment="1">
      <alignment horizontal="centerContinuous"/>
    </xf>
    <xf numFmtId="165" fontId="11" fillId="2" borderId="0" xfId="3" applyFont="1" applyFill="1" applyAlignment="1">
      <alignment horizontal="left"/>
    </xf>
    <xf numFmtId="165" fontId="13" fillId="2" borderId="0" xfId="3" applyFont="1" applyFill="1"/>
    <xf numFmtId="5" fontId="14" fillId="2" borderId="0" xfId="3" applyNumberFormat="1" applyFont="1" applyFill="1"/>
    <xf numFmtId="165" fontId="16" fillId="2" borderId="0" xfId="3" applyFont="1" applyFill="1"/>
    <xf numFmtId="165" fontId="20" fillId="2" borderId="0" xfId="3" applyFont="1" applyFill="1"/>
    <xf numFmtId="0" fontId="9" fillId="2" borderId="0" xfId="15" applyFill="1"/>
    <xf numFmtId="166" fontId="14" fillId="2" borderId="0" xfId="15" applyNumberFormat="1" applyFont="1" applyFill="1" applyAlignment="1">
      <alignment horizontal="center"/>
    </xf>
    <xf numFmtId="0" fontId="12" fillId="0" borderId="0" xfId="15" applyFont="1"/>
    <xf numFmtId="0" fontId="14" fillId="2" borderId="0" xfId="15" applyFont="1" applyFill="1"/>
    <xf numFmtId="165" fontId="20" fillId="2" borderId="0" xfId="3" applyFont="1" applyFill="1" applyAlignment="1">
      <alignment horizontal="left"/>
    </xf>
    <xf numFmtId="165" fontId="14" fillId="2" borderId="0" xfId="3" applyFont="1" applyFill="1" applyAlignment="1">
      <alignment horizontal="center"/>
    </xf>
    <xf numFmtId="165" fontId="19" fillId="0" borderId="0" xfId="3" applyFont="1"/>
    <xf numFmtId="165" fontId="9" fillId="0" borderId="0" xfId="3" applyFont="1" applyAlignment="1">
      <alignment horizontal="right"/>
    </xf>
    <xf numFmtId="9" fontId="12" fillId="0" borderId="0" xfId="5" applyFont="1"/>
    <xf numFmtId="5" fontId="12" fillId="0" borderId="0" xfId="3" applyNumberFormat="1" applyFont="1"/>
    <xf numFmtId="37" fontId="9" fillId="0" borderId="0" xfId="3" applyNumberFormat="1" applyFont="1" applyAlignment="1">
      <alignment horizontal="right"/>
    </xf>
    <xf numFmtId="37" fontId="9" fillId="0" borderId="0" xfId="3" applyNumberFormat="1" applyFont="1" applyAlignment="1">
      <alignment horizontal="left"/>
    </xf>
    <xf numFmtId="7" fontId="9" fillId="2" borderId="0" xfId="3" applyNumberFormat="1" applyFont="1" applyFill="1" applyAlignment="1">
      <alignment horizontal="center"/>
    </xf>
    <xf numFmtId="5" fontId="9" fillId="0" borderId="0" xfId="3" quotePrefix="1" applyNumberFormat="1" applyFont="1"/>
    <xf numFmtId="10" fontId="9" fillId="0" borderId="0" xfId="5" applyNumberFormat="1" applyFont="1"/>
    <xf numFmtId="5" fontId="9" fillId="2" borderId="0" xfId="3" applyNumberFormat="1" applyFont="1" applyFill="1"/>
    <xf numFmtId="10" fontId="9" fillId="0" borderId="0" xfId="3" applyNumberFormat="1" applyFont="1"/>
    <xf numFmtId="44" fontId="9" fillId="0" borderId="0" xfId="16" applyFont="1"/>
    <xf numFmtId="37" fontId="9" fillId="2" borderId="0" xfId="3" applyNumberFormat="1" applyFont="1" applyFill="1"/>
    <xf numFmtId="37" fontId="12" fillId="0" borderId="0" xfId="3" applyNumberFormat="1" applyFont="1" applyAlignment="1">
      <alignment horizontal="center"/>
    </xf>
    <xf numFmtId="165" fontId="16" fillId="0" borderId="0" xfId="3" applyFont="1" applyAlignment="1">
      <alignment horizontal="center" wrapText="1"/>
    </xf>
    <xf numFmtId="165" fontId="9" fillId="0" borderId="0" xfId="3" applyFont="1" applyAlignment="1">
      <alignment horizontal="centerContinuous"/>
    </xf>
    <xf numFmtId="165" fontId="11" fillId="2" borderId="0" xfId="3" applyFont="1" applyFill="1"/>
    <xf numFmtId="165" fontId="10" fillId="2" borderId="0" xfId="3" applyFont="1" applyFill="1" applyAlignment="1">
      <alignment horizontal="center"/>
    </xf>
    <xf numFmtId="165" fontId="9" fillId="2" borderId="0" xfId="3" applyFont="1" applyFill="1" applyAlignment="1">
      <alignment horizontal="center"/>
    </xf>
    <xf numFmtId="165" fontId="11" fillId="2" borderId="0" xfId="3" applyFont="1" applyFill="1" applyAlignment="1">
      <alignment horizontal="center"/>
    </xf>
    <xf numFmtId="165" fontId="20" fillId="2" borderId="0" xfId="3" applyFont="1" applyFill="1" applyAlignment="1">
      <alignment horizontal="center" wrapText="1"/>
    </xf>
    <xf numFmtId="5" fontId="14" fillId="2" borderId="0" xfId="3" applyNumberFormat="1" applyFont="1" applyFill="1" applyAlignment="1">
      <alignment horizontal="center"/>
    </xf>
    <xf numFmtId="164" fontId="14" fillId="2" borderId="0" xfId="5" applyNumberFormat="1" applyFont="1" applyFill="1" applyAlignment="1">
      <alignment horizontal="center"/>
    </xf>
    <xf numFmtId="38" fontId="9" fillId="0" borderId="0" xfId="3" applyNumberFormat="1" applyFont="1" applyAlignment="1">
      <alignment horizontal="center"/>
    </xf>
    <xf numFmtId="165" fontId="9" fillId="0" borderId="0" xfId="3" applyFont="1" applyAlignment="1">
      <alignment horizontal="center"/>
    </xf>
    <xf numFmtId="168" fontId="9" fillId="0" borderId="0" xfId="3" applyNumberFormat="1" applyFont="1" applyAlignment="1">
      <alignment horizontal="center"/>
    </xf>
    <xf numFmtId="0" fontId="16" fillId="2" borderId="0" xfId="15" applyFont="1" applyFill="1" applyAlignment="1">
      <alignment horizontal="center"/>
    </xf>
    <xf numFmtId="0" fontId="14" fillId="2" borderId="0" xfId="15" applyFont="1" applyFill="1" applyAlignment="1">
      <alignment horizontal="center"/>
    </xf>
    <xf numFmtId="7" fontId="14" fillId="0" borderId="0" xfId="3" applyNumberFormat="1" applyFont="1" applyAlignment="1">
      <alignment horizontal="center"/>
    </xf>
    <xf numFmtId="39" fontId="14" fillId="0" borderId="0" xfId="3" applyNumberFormat="1" applyFont="1" applyAlignment="1">
      <alignment horizontal="center"/>
    </xf>
    <xf numFmtId="7" fontId="16" fillId="0" borderId="0" xfId="15" applyNumberFormat="1" applyFont="1" applyAlignment="1">
      <alignment horizontal="center"/>
    </xf>
    <xf numFmtId="168" fontId="14" fillId="0" borderId="0" xfId="3" applyNumberFormat="1" applyFont="1" applyAlignment="1">
      <alignment horizontal="center"/>
    </xf>
    <xf numFmtId="6" fontId="14" fillId="2" borderId="0" xfId="3" applyNumberFormat="1" applyFont="1" applyFill="1" applyAlignment="1">
      <alignment horizontal="center"/>
    </xf>
    <xf numFmtId="169" fontId="9" fillId="0" borderId="0" xfId="3" applyNumberFormat="1" applyFont="1" applyAlignment="1">
      <alignment horizontal="center"/>
    </xf>
    <xf numFmtId="170" fontId="9" fillId="2" borderId="0" xfId="3" applyNumberFormat="1" applyFont="1" applyFill="1"/>
    <xf numFmtId="39" fontId="14" fillId="2" borderId="0" xfId="3" applyNumberFormat="1" applyFont="1" applyFill="1" applyAlignment="1">
      <alignment horizontal="center"/>
    </xf>
    <xf numFmtId="165" fontId="16" fillId="2" borderId="0" xfId="3" quotePrefix="1" applyFont="1" applyFill="1" applyAlignment="1">
      <alignment horizontal="left"/>
    </xf>
    <xf numFmtId="166" fontId="29" fillId="5" borderId="0" xfId="15" applyNumberFormat="1" applyFont="1" applyFill="1" applyAlignment="1">
      <alignment horizontal="center"/>
    </xf>
    <xf numFmtId="165" fontId="30" fillId="5" borderId="0" xfId="3" applyFont="1" applyFill="1"/>
    <xf numFmtId="165" fontId="29" fillId="5" borderId="0" xfId="3" applyFont="1" applyFill="1"/>
    <xf numFmtId="165" fontId="16" fillId="2" borderId="0" xfId="3" applyFont="1" applyFill="1" applyAlignment="1">
      <alignment horizontal="center" wrapText="1"/>
    </xf>
    <xf numFmtId="165" fontId="16" fillId="2" borderId="0" xfId="3" applyFont="1" applyFill="1" applyAlignment="1">
      <alignment horizontal="center"/>
    </xf>
    <xf numFmtId="37" fontId="31" fillId="5" borderId="0" xfId="3" quotePrefix="1" applyNumberFormat="1" applyFont="1" applyFill="1" applyAlignment="1">
      <alignment horizontal="center"/>
    </xf>
    <xf numFmtId="165" fontId="31" fillId="5" borderId="0" xfId="3" applyFont="1" applyFill="1" applyAlignment="1">
      <alignment horizontal="center"/>
    </xf>
    <xf numFmtId="37" fontId="14" fillId="2" borderId="0" xfId="3" applyNumberFormat="1" applyFont="1" applyFill="1"/>
    <xf numFmtId="165" fontId="14" fillId="2" borderId="0" xfId="3" quotePrefix="1" applyFont="1" applyFill="1" applyAlignment="1">
      <alignment horizontal="left"/>
    </xf>
    <xf numFmtId="165" fontId="14" fillId="2" borderId="0" xfId="3" quotePrefix="1" applyFont="1" applyFill="1"/>
    <xf numFmtId="5" fontId="14" fillId="2" borderId="0" xfId="3" quotePrefix="1" applyNumberFormat="1" applyFont="1" applyFill="1" applyAlignment="1">
      <alignment horizontal="left"/>
    </xf>
    <xf numFmtId="166" fontId="26" fillId="2" borderId="0" xfId="15" applyNumberFormat="1" applyFont="1" applyFill="1" applyAlignment="1">
      <alignment horizontal="center"/>
    </xf>
    <xf numFmtId="165" fontId="26" fillId="2" borderId="0" xfId="3" quotePrefix="1" applyFont="1" applyFill="1" applyAlignment="1">
      <alignment horizontal="left"/>
    </xf>
    <xf numFmtId="165" fontId="26" fillId="2" borderId="0" xfId="3" applyFont="1" applyFill="1"/>
    <xf numFmtId="0" fontId="16" fillId="2" borderId="0" xfId="15" applyFont="1" applyFill="1"/>
    <xf numFmtId="166" fontId="19" fillId="3" borderId="0" xfId="15" applyNumberFormat="1" applyFont="1" applyFill="1" applyAlignment="1">
      <alignment horizontal="center"/>
    </xf>
    <xf numFmtId="165" fontId="13" fillId="3" borderId="0" xfId="3" applyFont="1" applyFill="1"/>
    <xf numFmtId="165" fontId="18" fillId="0" borderId="0" xfId="3" quotePrefix="1" applyFont="1"/>
    <xf numFmtId="0" fontId="29" fillId="5" borderId="0" xfId="15" applyFont="1" applyFill="1"/>
    <xf numFmtId="166" fontId="14" fillId="0" borderId="0" xfId="15" applyNumberFormat="1" applyFont="1" applyAlignment="1">
      <alignment horizontal="center"/>
    </xf>
    <xf numFmtId="165" fontId="16" fillId="0" borderId="0" xfId="3" quotePrefix="1" applyFont="1" applyAlignment="1">
      <alignment horizontal="left"/>
    </xf>
    <xf numFmtId="165" fontId="14" fillId="0" borderId="0" xfId="3" quotePrefix="1" applyFont="1"/>
    <xf numFmtId="37" fontId="29" fillId="5" borderId="0" xfId="3" applyNumberFormat="1" applyFont="1" applyFill="1" applyAlignment="1">
      <alignment horizontal="center"/>
    </xf>
    <xf numFmtId="5" fontId="14" fillId="0" borderId="0" xfId="3" applyNumberFormat="1" applyFont="1" applyAlignment="1">
      <alignment horizontal="center"/>
    </xf>
    <xf numFmtId="37" fontId="14" fillId="0" borderId="0" xfId="3" applyNumberFormat="1" applyFont="1" applyAlignment="1">
      <alignment horizontal="center"/>
    </xf>
    <xf numFmtId="5" fontId="26" fillId="0" borderId="0" xfId="3" applyNumberFormat="1" applyFont="1" applyAlignment="1">
      <alignment horizontal="center"/>
    </xf>
    <xf numFmtId="37" fontId="26" fillId="0" borderId="0" xfId="3" applyNumberFormat="1" applyFont="1" applyAlignment="1">
      <alignment horizontal="center"/>
    </xf>
    <xf numFmtId="37" fontId="14" fillId="0" borderId="2" xfId="3" applyNumberFormat="1" applyFont="1" applyBorder="1" applyAlignment="1">
      <alignment horizontal="center"/>
    </xf>
    <xf numFmtId="165" fontId="14" fillId="0" borderId="2" xfId="3" applyFont="1" applyBorder="1" applyAlignment="1">
      <alignment horizontal="center"/>
    </xf>
    <xf numFmtId="7" fontId="16" fillId="0" borderId="0" xfId="3" applyNumberFormat="1" applyFont="1" applyAlignment="1">
      <alignment horizontal="center"/>
    </xf>
    <xf numFmtId="37" fontId="16" fillId="0" borderId="0" xfId="3" applyNumberFormat="1" applyFont="1" applyAlignment="1">
      <alignment horizontal="center"/>
    </xf>
    <xf numFmtId="165" fontId="17" fillId="0" borderId="0" xfId="3" applyFont="1" applyAlignment="1">
      <alignment horizontal="center"/>
    </xf>
    <xf numFmtId="5" fontId="29" fillId="5" borderId="0" xfId="3" applyNumberFormat="1" applyFont="1" applyFill="1" applyAlignment="1">
      <alignment horizontal="center"/>
    </xf>
    <xf numFmtId="165" fontId="14" fillId="0" borderId="0" xfId="3" applyFont="1" applyAlignment="1">
      <alignment horizontal="center"/>
    </xf>
    <xf numFmtId="37" fontId="9" fillId="0" borderId="0" xfId="3" applyNumberFormat="1" applyFont="1" applyAlignment="1">
      <alignment horizontal="center"/>
    </xf>
    <xf numFmtId="10" fontId="14" fillId="0" borderId="0" xfId="3" applyNumberFormat="1" applyFont="1" applyAlignment="1">
      <alignment horizontal="center"/>
    </xf>
    <xf numFmtId="10" fontId="14" fillId="0" borderId="0" xfId="1" applyNumberFormat="1" applyFont="1" applyFill="1" applyBorder="1" applyAlignment="1">
      <alignment horizontal="center"/>
    </xf>
    <xf numFmtId="5" fontId="9" fillId="0" borderId="0" xfId="3" applyNumberFormat="1" applyFont="1" applyAlignment="1">
      <alignment horizontal="center"/>
    </xf>
    <xf numFmtId="7" fontId="26" fillId="0" borderId="0" xfId="3" applyNumberFormat="1" applyFont="1" applyAlignment="1">
      <alignment horizontal="center"/>
    </xf>
    <xf numFmtId="37" fontId="14" fillId="2" borderId="0" xfId="3" applyNumberFormat="1" applyFont="1" applyFill="1" applyAlignment="1">
      <alignment horizontal="center"/>
    </xf>
    <xf numFmtId="39" fontId="14" fillId="0" borderId="2" xfId="3" applyNumberFormat="1" applyFont="1" applyBorder="1" applyAlignment="1">
      <alignment horizontal="center"/>
    </xf>
    <xf numFmtId="39" fontId="26" fillId="0" borderId="2" xfId="3" applyNumberFormat="1" applyFont="1" applyBorder="1" applyAlignment="1">
      <alignment horizontal="center"/>
    </xf>
    <xf numFmtId="0" fontId="16" fillId="0" borderId="0" xfId="15" applyFont="1" applyAlignment="1">
      <alignment horizontal="center"/>
    </xf>
    <xf numFmtId="0" fontId="12" fillId="0" borderId="0" xfId="15" applyFont="1" applyAlignment="1">
      <alignment horizontal="center"/>
    </xf>
    <xf numFmtId="0" fontId="14" fillId="0" borderId="0" xfId="15" applyFont="1" applyAlignment="1">
      <alignment horizontal="center"/>
    </xf>
    <xf numFmtId="0" fontId="9" fillId="0" borderId="0" xfId="15" applyAlignment="1">
      <alignment horizontal="center"/>
    </xf>
    <xf numFmtId="7" fontId="30" fillId="5" borderId="0" xfId="15" applyNumberFormat="1" applyFont="1" applyFill="1" applyAlignment="1">
      <alignment horizontal="center"/>
    </xf>
    <xf numFmtId="0" fontId="32" fillId="5" borderId="0" xfId="15" applyFont="1" applyFill="1" applyAlignment="1">
      <alignment horizontal="center"/>
    </xf>
    <xf numFmtId="7" fontId="16" fillId="2" borderId="0" xfId="15" applyNumberFormat="1" applyFont="1" applyFill="1" applyAlignment="1">
      <alignment horizontal="center"/>
    </xf>
    <xf numFmtId="7" fontId="14" fillId="0" borderId="0" xfId="15" applyNumberFormat="1" applyFont="1" applyAlignment="1">
      <alignment horizontal="center"/>
    </xf>
    <xf numFmtId="165" fontId="9" fillId="0" borderId="0" xfId="15" applyNumberFormat="1" applyAlignment="1">
      <alignment horizontal="center"/>
    </xf>
    <xf numFmtId="165" fontId="19" fillId="0" borderId="0" xfId="3" applyFont="1" applyAlignment="1">
      <alignment horizontal="center"/>
    </xf>
    <xf numFmtId="164" fontId="14" fillId="2" borderId="0" xfId="5" applyNumberFormat="1" applyFont="1" applyFill="1" applyBorder="1" applyAlignment="1">
      <alignment horizontal="center"/>
    </xf>
    <xf numFmtId="165" fontId="19" fillId="3" borderId="0" xfId="3" applyFont="1" applyFill="1" applyAlignment="1">
      <alignment horizontal="center"/>
    </xf>
    <xf numFmtId="9" fontId="13" fillId="3" borderId="0" xfId="5" applyFont="1" applyFill="1" applyBorder="1" applyAlignment="1">
      <alignment horizontal="center"/>
    </xf>
    <xf numFmtId="164" fontId="17" fillId="0" borderId="0" xfId="1" quotePrefix="1" applyNumberFormat="1" applyFont="1" applyBorder="1" applyAlignment="1">
      <alignment horizontal="center"/>
    </xf>
    <xf numFmtId="43" fontId="17" fillId="0" borderId="0" xfId="2" quotePrefix="1" applyFont="1" applyBorder="1" applyAlignment="1">
      <alignment horizontal="center"/>
    </xf>
    <xf numFmtId="0" fontId="35" fillId="0" borderId="0" xfId="17" applyFont="1"/>
    <xf numFmtId="0" fontId="18" fillId="0" borderId="0" xfId="17" applyFont="1"/>
    <xf numFmtId="0" fontId="18" fillId="0" borderId="0" xfId="17" applyFont="1" applyAlignment="1">
      <alignment horizontal="center" vertical="center"/>
    </xf>
    <xf numFmtId="0" fontId="37" fillId="0" borderId="0" xfId="17" applyFont="1"/>
    <xf numFmtId="0" fontId="38" fillId="0" borderId="0" xfId="17" applyFont="1"/>
    <xf numFmtId="1" fontId="39" fillId="0" borderId="0" xfId="17" applyNumberFormat="1" applyFont="1" applyAlignment="1">
      <alignment horizontal="left"/>
    </xf>
    <xf numFmtId="1" fontId="40" fillId="0" borderId="0" xfId="17" applyNumberFormat="1" applyFont="1" applyAlignment="1">
      <alignment horizontal="left"/>
    </xf>
    <xf numFmtId="1" fontId="41" fillId="0" borderId="0" xfId="17" applyNumberFormat="1" applyFont="1" applyAlignment="1">
      <alignment horizontal="left"/>
    </xf>
    <xf numFmtId="1" fontId="16" fillId="0" borderId="0" xfId="17" applyNumberFormat="1" applyFont="1" applyAlignment="1">
      <alignment horizontal="left"/>
    </xf>
    <xf numFmtId="0" fontId="18" fillId="0" borderId="0" xfId="17" quotePrefix="1" applyFont="1" applyAlignment="1">
      <alignment horizontal="center"/>
    </xf>
    <xf numFmtId="1" fontId="18" fillId="0" borderId="0" xfId="17" quotePrefix="1" applyNumberFormat="1" applyFont="1" applyAlignment="1">
      <alignment horizontal="center"/>
    </xf>
    <xf numFmtId="1" fontId="35" fillId="0" borderId="0" xfId="17" applyNumberFormat="1" applyFont="1" applyAlignment="1">
      <alignment horizontal="center"/>
    </xf>
    <xf numFmtId="1" fontId="18" fillId="0" borderId="0" xfId="17" applyNumberFormat="1" applyFont="1" applyAlignment="1">
      <alignment horizontal="center"/>
    </xf>
    <xf numFmtId="169" fontId="18" fillId="0" borderId="0" xfId="17" applyNumberFormat="1" applyFont="1"/>
    <xf numFmtId="1" fontId="16" fillId="0" borderId="6" xfId="17" applyNumberFormat="1" applyFont="1" applyBorder="1" applyAlignment="1">
      <alignment vertical="center"/>
    </xf>
    <xf numFmtId="1" fontId="42" fillId="0" borderId="7" xfId="17" applyNumberFormat="1" applyFont="1" applyBorder="1" applyAlignment="1">
      <alignment horizontal="center" vertical="center" wrapText="1"/>
    </xf>
    <xf numFmtId="1" fontId="42" fillId="7" borderId="7" xfId="17" applyNumberFormat="1" applyFont="1" applyFill="1" applyBorder="1" applyAlignment="1">
      <alignment horizontal="center" vertical="center" wrapText="1"/>
    </xf>
    <xf numFmtId="1" fontId="42" fillId="0" borderId="8" xfId="17" applyNumberFormat="1" applyFont="1" applyBorder="1" applyAlignment="1">
      <alignment horizontal="center" vertical="center" wrapText="1"/>
    </xf>
    <xf numFmtId="1" fontId="42" fillId="0" borderId="9" xfId="17" applyNumberFormat="1" applyFont="1" applyBorder="1" applyAlignment="1">
      <alignment horizontal="center" vertical="center" wrapText="1"/>
    </xf>
    <xf numFmtId="1" fontId="42" fillId="7" borderId="8" xfId="17" applyNumberFormat="1" applyFont="1" applyFill="1" applyBorder="1" applyAlignment="1">
      <alignment horizontal="center" vertical="center" wrapText="1"/>
    </xf>
    <xf numFmtId="1" fontId="42" fillId="0" borderId="10" xfId="17" applyNumberFormat="1" applyFont="1" applyBorder="1" applyAlignment="1">
      <alignment horizontal="center" vertical="center" wrapText="1"/>
    </xf>
    <xf numFmtId="1" fontId="43" fillId="0" borderId="0" xfId="17" applyNumberFormat="1" applyFont="1" applyAlignment="1">
      <alignment horizontal="center" vertical="center" wrapText="1"/>
    </xf>
    <xf numFmtId="1" fontId="42" fillId="0" borderId="0" xfId="17" applyNumberFormat="1" applyFont="1" applyAlignment="1">
      <alignment horizontal="center" vertical="center" wrapText="1"/>
    </xf>
    <xf numFmtId="0" fontId="18" fillId="0" borderId="0" xfId="17" applyFont="1" applyAlignment="1">
      <alignment horizontal="center" vertical="center" wrapText="1"/>
    </xf>
    <xf numFmtId="1" fontId="42" fillId="0" borderId="11" xfId="17" applyNumberFormat="1" applyFont="1" applyBorder="1" applyAlignment="1">
      <alignment horizontal="center" vertical="center" wrapText="1"/>
    </xf>
    <xf numFmtId="1" fontId="42" fillId="0" borderId="12" xfId="17" applyNumberFormat="1" applyFont="1" applyBorder="1" applyAlignment="1">
      <alignment horizontal="center" vertical="center" wrapText="1"/>
    </xf>
    <xf numFmtId="1" fontId="42" fillId="0" borderId="13" xfId="17" applyNumberFormat="1" applyFont="1" applyBorder="1" applyAlignment="1">
      <alignment horizontal="center" vertical="center" wrapText="1"/>
    </xf>
    <xf numFmtId="1" fontId="42" fillId="0" borderId="14" xfId="17" applyNumberFormat="1" applyFont="1" applyBorder="1" applyAlignment="1">
      <alignment horizontal="center" vertical="center" wrapText="1"/>
    </xf>
    <xf numFmtId="0" fontId="43" fillId="0" borderId="0" xfId="17" applyFont="1" applyAlignment="1">
      <alignment horizontal="center" vertical="center" wrapText="1"/>
    </xf>
    <xf numFmtId="0" fontId="43" fillId="0" borderId="0" xfId="17" applyFont="1"/>
    <xf numFmtId="171" fontId="18" fillId="0" borderId="16" xfId="17" quotePrefix="1" applyNumberFormat="1" applyFont="1" applyBorder="1" applyAlignment="1">
      <alignment horizontal="left"/>
    </xf>
    <xf numFmtId="6" fontId="18" fillId="0" borderId="18" xfId="19" applyNumberFormat="1" applyBorder="1" applyAlignment="1">
      <alignment horizontal="center" vertical="center" wrapText="1"/>
    </xf>
    <xf numFmtId="6" fontId="18" fillId="0" borderId="1" xfId="19" applyNumberFormat="1" applyBorder="1" applyAlignment="1">
      <alignment horizontal="center" vertical="center" wrapText="1"/>
    </xf>
    <xf numFmtId="6" fontId="18" fillId="0" borderId="18" xfId="17" applyNumberFormat="1" applyFont="1" applyBorder="1" applyAlignment="1">
      <alignment horizontal="center" vertical="center"/>
    </xf>
    <xf numFmtId="0" fontId="18" fillId="0" borderId="0" xfId="13"/>
    <xf numFmtId="0" fontId="18" fillId="0" borderId="0" xfId="17" applyFont="1" applyAlignment="1">
      <alignment horizontal="center"/>
    </xf>
    <xf numFmtId="1" fontId="44" fillId="0" borderId="5" xfId="18" applyNumberFormat="1" applyFont="1" applyBorder="1" applyAlignment="1">
      <alignment horizontal="center" vertical="center"/>
    </xf>
    <xf numFmtId="5" fontId="18" fillId="0" borderId="17" xfId="17" applyNumberFormat="1" applyFont="1" applyBorder="1" applyAlignment="1">
      <alignment horizontal="center"/>
    </xf>
    <xf numFmtId="5" fontId="18" fillId="0" borderId="18" xfId="17" applyNumberFormat="1" applyFont="1" applyBorder="1" applyAlignment="1">
      <alignment horizontal="center" vertical="center"/>
    </xf>
    <xf numFmtId="5" fontId="44" fillId="0" borderId="0" xfId="18" applyNumberFormat="1" applyFont="1" applyAlignment="1">
      <alignment horizontal="center" vertical="center"/>
    </xf>
    <xf numFmtId="5" fontId="18" fillId="0" borderId="18" xfId="17" applyNumberFormat="1" applyFont="1" applyBorder="1" applyAlignment="1">
      <alignment horizontal="center"/>
    </xf>
    <xf numFmtId="169" fontId="35" fillId="0" borderId="0" xfId="17" applyNumberFormat="1" applyFont="1"/>
    <xf numFmtId="164" fontId="35" fillId="0" borderId="0" xfId="17" applyNumberFormat="1" applyFont="1"/>
    <xf numFmtId="171" fontId="18" fillId="0" borderId="16" xfId="17" applyNumberFormat="1" applyFont="1" applyBorder="1" applyAlignment="1">
      <alignment horizontal="left"/>
    </xf>
    <xf numFmtId="38" fontId="18" fillId="7" borderId="17" xfId="17" applyNumberFormat="1" applyFont="1" applyFill="1" applyBorder="1" applyAlignment="1">
      <alignment horizontal="center"/>
    </xf>
    <xf numFmtId="38" fontId="18" fillId="0" borderId="18" xfId="19" applyNumberFormat="1" applyBorder="1" applyAlignment="1">
      <alignment horizontal="center" vertical="center" wrapText="1"/>
    </xf>
    <xf numFmtId="38" fontId="18" fillId="0" borderId="1" xfId="19" applyNumberFormat="1" applyBorder="1" applyAlignment="1">
      <alignment horizontal="center" vertical="center" wrapText="1"/>
    </xf>
    <xf numFmtId="38" fontId="18" fillId="0" borderId="18" xfId="17" applyNumberFormat="1" applyFont="1" applyBorder="1" applyAlignment="1">
      <alignment horizontal="center" vertical="center"/>
    </xf>
    <xf numFmtId="38" fontId="18" fillId="7" borderId="18" xfId="17" applyNumberFormat="1" applyFont="1" applyFill="1" applyBorder="1" applyAlignment="1">
      <alignment horizontal="center"/>
    </xf>
    <xf numFmtId="38" fontId="18" fillId="0" borderId="17" xfId="17" applyNumberFormat="1" applyFont="1" applyBorder="1" applyAlignment="1">
      <alignment horizontal="center"/>
    </xf>
    <xf numFmtId="37" fontId="44" fillId="0" borderId="18" xfId="21" applyNumberFormat="1" applyFont="1" applyBorder="1" applyAlignment="1">
      <alignment horizontal="center" vertical="center"/>
    </xf>
    <xf numFmtId="38" fontId="18" fillId="0" borderId="1" xfId="17" applyNumberFormat="1" applyFont="1" applyBorder="1" applyAlignment="1">
      <alignment horizontal="center" vertical="center"/>
    </xf>
    <xf numFmtId="38" fontId="44" fillId="0" borderId="0" xfId="18" applyNumberFormat="1" applyFont="1" applyAlignment="1">
      <alignment horizontal="center" vertical="center"/>
    </xf>
    <xf numFmtId="38" fontId="18" fillId="0" borderId="18" xfId="17" applyNumberFormat="1" applyFont="1" applyBorder="1" applyAlignment="1">
      <alignment horizontal="center"/>
    </xf>
    <xf numFmtId="7" fontId="35" fillId="0" borderId="0" xfId="17" applyNumberFormat="1" applyFont="1" applyAlignment="1">
      <alignment horizontal="center"/>
    </xf>
    <xf numFmtId="38" fontId="18" fillId="0" borderId="22" xfId="17" applyNumberFormat="1" applyFont="1" applyBorder="1" applyAlignment="1">
      <alignment horizontal="center" vertical="center"/>
    </xf>
    <xf numFmtId="38" fontId="18" fillId="7" borderId="22" xfId="17" applyNumberFormat="1" applyFont="1" applyFill="1" applyBorder="1" applyAlignment="1">
      <alignment horizontal="center"/>
    </xf>
    <xf numFmtId="1" fontId="44" fillId="0" borderId="26" xfId="18" applyNumberFormat="1" applyFont="1" applyBorder="1" applyAlignment="1">
      <alignment horizontal="center" vertical="center"/>
    </xf>
    <xf numFmtId="38" fontId="18" fillId="0" borderId="27" xfId="17" applyNumberFormat="1" applyFont="1" applyBorder="1" applyAlignment="1">
      <alignment horizontal="center"/>
    </xf>
    <xf numFmtId="37" fontId="44" fillId="0" borderId="28" xfId="21" applyNumberFormat="1" applyFont="1" applyBorder="1" applyAlignment="1">
      <alignment horizontal="center" vertical="center"/>
    </xf>
    <xf numFmtId="38" fontId="18" fillId="0" borderId="29" xfId="19" applyNumberFormat="1" applyBorder="1" applyAlignment="1">
      <alignment horizontal="center" vertical="center" wrapText="1"/>
    </xf>
    <xf numFmtId="38" fontId="18" fillId="0" borderId="29" xfId="17" applyNumberFormat="1" applyFont="1" applyBorder="1" applyAlignment="1">
      <alignment horizontal="center" vertical="center"/>
    </xf>
    <xf numFmtId="38" fontId="18" fillId="0" borderId="28" xfId="17" applyNumberFormat="1" applyFont="1" applyBorder="1" applyAlignment="1">
      <alignment horizontal="center" vertical="center"/>
    </xf>
    <xf numFmtId="38" fontId="44" fillId="0" borderId="30" xfId="18" applyNumberFormat="1" applyFont="1" applyBorder="1" applyAlignment="1">
      <alignment horizontal="center" vertical="center"/>
    </xf>
    <xf numFmtId="38" fontId="18" fillId="0" borderId="28" xfId="17" applyNumberFormat="1" applyFont="1" applyBorder="1" applyAlignment="1">
      <alignment horizontal="center"/>
    </xf>
    <xf numFmtId="7" fontId="18" fillId="0" borderId="0" xfId="17" applyNumberFormat="1" applyFont="1" applyAlignment="1">
      <alignment horizontal="center"/>
    </xf>
    <xf numFmtId="1" fontId="18" fillId="0" borderId="0" xfId="17" applyNumberFormat="1" applyFont="1" applyAlignment="1">
      <alignment horizontal="center" vertical="center"/>
    </xf>
    <xf numFmtId="10" fontId="35" fillId="0" borderId="0" xfId="17" applyNumberFormat="1" applyFont="1" applyAlignment="1">
      <alignment horizontal="center" vertical="center"/>
    </xf>
    <xf numFmtId="0" fontId="35" fillId="0" borderId="0" xfId="17" applyFont="1" applyAlignment="1">
      <alignment horizontal="center" vertical="center"/>
    </xf>
    <xf numFmtId="1" fontId="35" fillId="0" borderId="0" xfId="17" applyNumberFormat="1" applyFont="1" applyAlignment="1">
      <alignment horizontal="center" vertical="center"/>
    </xf>
    <xf numFmtId="0" fontId="35" fillId="0" borderId="0" xfId="17" applyFont="1" applyAlignment="1">
      <alignment horizontal="center"/>
    </xf>
    <xf numFmtId="6" fontId="35" fillId="0" borderId="0" xfId="17" applyNumberFormat="1" applyFont="1" applyAlignment="1">
      <alignment horizontal="center"/>
    </xf>
    <xf numFmtId="10" fontId="35" fillId="0" borderId="0" xfId="17" applyNumberFormat="1" applyFont="1" applyAlignment="1">
      <alignment horizontal="center"/>
    </xf>
    <xf numFmtId="171" fontId="18" fillId="0" borderId="31" xfId="17" applyNumberFormat="1" applyFont="1" applyBorder="1" applyAlignment="1">
      <alignment horizontal="left"/>
    </xf>
    <xf numFmtId="38" fontId="18" fillId="7" borderId="27" xfId="17" applyNumberFormat="1" applyFont="1" applyFill="1" applyBorder="1" applyAlignment="1">
      <alignment horizontal="center"/>
    </xf>
    <xf numFmtId="38" fontId="18" fillId="0" borderId="28" xfId="19" applyNumberFormat="1" applyBorder="1" applyAlignment="1">
      <alignment horizontal="center" vertical="center" wrapText="1"/>
    </xf>
    <xf numFmtId="38" fontId="18" fillId="7" borderId="28" xfId="17" applyNumberFormat="1" applyFont="1" applyFill="1" applyBorder="1" applyAlignment="1">
      <alignment horizontal="center"/>
    </xf>
    <xf numFmtId="171" fontId="18" fillId="0" borderId="0" xfId="17" applyNumberFormat="1" applyFont="1" applyAlignment="1">
      <alignment horizontal="left" vertical="center"/>
    </xf>
    <xf numFmtId="3" fontId="18" fillId="0" borderId="0" xfId="17" applyNumberFormat="1" applyFont="1" applyAlignment="1">
      <alignment horizontal="center" vertical="center"/>
    </xf>
    <xf numFmtId="5" fontId="18" fillId="0" borderId="0" xfId="17" applyNumberFormat="1" applyFont="1" applyAlignment="1">
      <alignment horizontal="center" vertical="center"/>
    </xf>
    <xf numFmtId="5" fontId="35" fillId="0" borderId="0" xfId="17" applyNumberFormat="1" applyFont="1" applyAlignment="1">
      <alignment horizontal="center"/>
    </xf>
    <xf numFmtId="1" fontId="12" fillId="0" borderId="0" xfId="17" applyNumberFormat="1" applyFont="1" applyAlignment="1">
      <alignment horizontal="left" vertical="center"/>
    </xf>
    <xf numFmtId="5" fontId="45" fillId="0" borderId="0" xfId="17" quotePrefix="1" applyNumberFormat="1" applyFont="1" applyAlignment="1">
      <alignment horizontal="center" vertical="center"/>
    </xf>
    <xf numFmtId="6" fontId="46" fillId="0" borderId="0" xfId="5" applyNumberFormat="1" applyFont="1" applyFill="1" applyBorder="1" applyAlignment="1">
      <alignment horizontal="center" vertical="center"/>
    </xf>
    <xf numFmtId="164" fontId="46" fillId="0" borderId="0" xfId="5" applyNumberFormat="1" applyFont="1" applyFill="1" applyBorder="1" applyAlignment="1">
      <alignment horizontal="center" vertical="center"/>
    </xf>
    <xf numFmtId="3" fontId="35" fillId="0" borderId="0" xfId="17" applyNumberFormat="1" applyFont="1" applyAlignment="1">
      <alignment horizontal="center" vertical="center"/>
    </xf>
    <xf numFmtId="171" fontId="46" fillId="0" borderId="33" xfId="17" applyNumberFormat="1" applyFont="1" applyBorder="1" applyAlignment="1">
      <alignment vertical="center"/>
    </xf>
    <xf numFmtId="6" fontId="46" fillId="7" borderId="34" xfId="5" applyNumberFormat="1" applyFont="1" applyFill="1" applyBorder="1" applyAlignment="1">
      <alignment horizontal="center" vertical="center"/>
    </xf>
    <xf numFmtId="6" fontId="46" fillId="0" borderId="34" xfId="5" applyNumberFormat="1" applyFont="1" applyFill="1" applyBorder="1" applyAlignment="1">
      <alignment horizontal="center" vertical="center"/>
    </xf>
    <xf numFmtId="171" fontId="46" fillId="0" borderId="5" xfId="17" applyNumberFormat="1" applyFont="1" applyBorder="1" applyAlignment="1">
      <alignment vertical="center"/>
    </xf>
    <xf numFmtId="6" fontId="46" fillId="7" borderId="17" xfId="5" applyNumberFormat="1" applyFont="1" applyFill="1" applyBorder="1" applyAlignment="1">
      <alignment horizontal="center" vertical="center"/>
    </xf>
    <xf numFmtId="6" fontId="46" fillId="0" borderId="17" xfId="5" applyNumberFormat="1" applyFont="1" applyFill="1" applyBorder="1" applyAlignment="1">
      <alignment horizontal="center" vertical="center"/>
    </xf>
    <xf numFmtId="171" fontId="46" fillId="0" borderId="26" xfId="17" applyNumberFormat="1" applyFont="1" applyBorder="1" applyAlignment="1">
      <alignment vertical="center"/>
    </xf>
    <xf numFmtId="164" fontId="46" fillId="0" borderId="27" xfId="5" applyNumberFormat="1" applyFont="1" applyBorder="1" applyAlignment="1">
      <alignment horizontal="center" vertical="center"/>
    </xf>
    <xf numFmtId="164" fontId="46" fillId="7" borderId="27" xfId="5" applyNumberFormat="1" applyFont="1" applyFill="1" applyBorder="1" applyAlignment="1">
      <alignment horizontal="center" vertical="center"/>
    </xf>
    <xf numFmtId="164" fontId="46" fillId="0" borderId="27" xfId="5" applyNumberFormat="1" applyFont="1" applyFill="1" applyBorder="1" applyAlignment="1">
      <alignment horizontal="center" vertical="center"/>
    </xf>
    <xf numFmtId="164" fontId="46" fillId="0" borderId="32" xfId="5" applyNumberFormat="1" applyFont="1" applyFill="1" applyBorder="1" applyAlignment="1">
      <alignment horizontal="center" vertical="center"/>
    </xf>
    <xf numFmtId="171" fontId="46" fillId="0" borderId="11" xfId="17" applyNumberFormat="1" applyFont="1" applyBorder="1" applyAlignment="1">
      <alignment vertical="center"/>
    </xf>
    <xf numFmtId="6" fontId="46" fillId="7" borderId="13" xfId="5" applyNumberFormat="1" applyFont="1" applyFill="1" applyBorder="1" applyAlignment="1">
      <alignment horizontal="center" vertical="center"/>
    </xf>
    <xf numFmtId="6" fontId="46" fillId="0" borderId="13" xfId="5" applyNumberFormat="1" applyFont="1" applyFill="1" applyBorder="1" applyAlignment="1">
      <alignment horizontal="center" vertical="center"/>
    </xf>
    <xf numFmtId="164" fontId="46" fillId="7" borderId="13" xfId="5" applyNumberFormat="1" applyFont="1" applyFill="1" applyBorder="1" applyAlignment="1">
      <alignment horizontal="center" vertical="center"/>
    </xf>
    <xf numFmtId="171" fontId="46" fillId="0" borderId="0" xfId="17" applyNumberFormat="1" applyFont="1" applyAlignment="1">
      <alignment horizontal="left" vertical="center"/>
    </xf>
    <xf numFmtId="171" fontId="15" fillId="0" borderId="0" xfId="17" applyNumberFormat="1" applyFont="1" applyAlignment="1">
      <alignment horizontal="left" vertical="center"/>
    </xf>
    <xf numFmtId="171" fontId="46" fillId="0" borderId="37" xfId="17" applyNumberFormat="1" applyFont="1" applyBorder="1" applyAlignment="1">
      <alignment horizontal="left" vertical="center"/>
    </xf>
    <xf numFmtId="5" fontId="46" fillId="7" borderId="20" xfId="17" applyNumberFormat="1" applyFont="1" applyFill="1" applyBorder="1" applyAlignment="1">
      <alignment horizontal="center" vertical="center"/>
    </xf>
    <xf numFmtId="6" fontId="46" fillId="0" borderId="20" xfId="17" applyNumberFormat="1" applyFont="1" applyBorder="1" applyAlignment="1">
      <alignment horizontal="center" vertical="center"/>
    </xf>
    <xf numFmtId="0" fontId="47" fillId="0" borderId="0" xfId="17" applyFont="1"/>
    <xf numFmtId="171" fontId="46" fillId="0" borderId="16" xfId="17" applyNumberFormat="1" applyFont="1" applyBorder="1" applyAlignment="1">
      <alignment horizontal="left" vertical="center"/>
    </xf>
    <xf numFmtId="5" fontId="46" fillId="7" borderId="18" xfId="17" applyNumberFormat="1" applyFont="1" applyFill="1" applyBorder="1" applyAlignment="1">
      <alignment horizontal="center" vertical="center"/>
    </xf>
    <xf numFmtId="5" fontId="46" fillId="0" borderId="1" xfId="17" applyNumberFormat="1" applyFont="1" applyBorder="1" applyAlignment="1">
      <alignment horizontal="center" vertical="center"/>
    </xf>
    <xf numFmtId="6" fontId="46" fillId="0" borderId="18" xfId="17" applyNumberFormat="1" applyFont="1" applyBorder="1" applyAlignment="1">
      <alignment horizontal="center" vertical="center"/>
    </xf>
    <xf numFmtId="5" fontId="46" fillId="0" borderId="18" xfId="17" applyNumberFormat="1" applyFont="1" applyBorder="1" applyAlignment="1">
      <alignment horizontal="center" vertical="center"/>
    </xf>
    <xf numFmtId="5" fontId="46" fillId="0" borderId="0" xfId="17" applyNumberFormat="1" applyFont="1" applyAlignment="1">
      <alignment horizontal="center" vertical="center"/>
    </xf>
    <xf numFmtId="171" fontId="46" fillId="0" borderId="31" xfId="17" applyNumberFormat="1" applyFont="1" applyBorder="1" applyAlignment="1">
      <alignment horizontal="left" vertical="center"/>
    </xf>
    <xf numFmtId="3" fontId="46" fillId="0" borderId="27" xfId="17" applyNumberFormat="1" applyFont="1" applyBorder="1" applyAlignment="1">
      <alignment horizontal="center" vertical="center"/>
    </xf>
    <xf numFmtId="5" fontId="46" fillId="7" borderId="28" xfId="17" applyNumberFormat="1" applyFont="1" applyFill="1" applyBorder="1" applyAlignment="1">
      <alignment horizontal="center" vertical="center"/>
    </xf>
    <xf numFmtId="5" fontId="46" fillId="0" borderId="29" xfId="17" applyNumberFormat="1" applyFont="1" applyBorder="1" applyAlignment="1">
      <alignment horizontal="center" vertical="center"/>
    </xf>
    <xf numFmtId="6" fontId="46" fillId="0" borderId="28" xfId="17" applyNumberFormat="1" applyFont="1" applyBorder="1" applyAlignment="1">
      <alignment horizontal="center" vertical="center"/>
    </xf>
    <xf numFmtId="5" fontId="46" fillId="0" borderId="28" xfId="17" applyNumberFormat="1" applyFont="1" applyBorder="1" applyAlignment="1">
      <alignment horizontal="center" vertical="center"/>
    </xf>
    <xf numFmtId="0" fontId="18" fillId="0" borderId="0" xfId="17" applyFont="1" applyAlignment="1">
      <alignment vertical="center"/>
    </xf>
    <xf numFmtId="171" fontId="35" fillId="0" borderId="0" xfId="17" applyNumberFormat="1" applyFont="1" applyAlignment="1">
      <alignment horizontal="left" vertical="center"/>
    </xf>
    <xf numFmtId="5" fontId="35" fillId="0" borderId="0" xfId="17" applyNumberFormat="1" applyFont="1" applyAlignment="1">
      <alignment horizontal="center" vertical="center"/>
    </xf>
    <xf numFmtId="0" fontId="35" fillId="0" borderId="2" xfId="17" applyFont="1" applyBorder="1"/>
    <xf numFmtId="171" fontId="35" fillId="0" borderId="0" xfId="17" applyNumberFormat="1" applyFont="1" applyAlignment="1">
      <alignment horizontal="left"/>
    </xf>
    <xf numFmtId="7" fontId="48" fillId="0" borderId="0" xfId="17" applyNumberFormat="1" applyFont="1" applyAlignment="1">
      <alignment horizontal="center"/>
    </xf>
    <xf numFmtId="1" fontId="48" fillId="0" borderId="0" xfId="17" applyNumberFormat="1" applyFont="1" applyAlignment="1">
      <alignment horizontal="center"/>
    </xf>
    <xf numFmtId="7" fontId="35" fillId="0" borderId="0" xfId="17" applyNumberFormat="1" applyFont="1"/>
    <xf numFmtId="0" fontId="43" fillId="0" borderId="0" xfId="17" applyFont="1" applyAlignment="1">
      <alignment horizontal="center"/>
    </xf>
    <xf numFmtId="0" fontId="48" fillId="0" borderId="0" xfId="17" applyFont="1"/>
    <xf numFmtId="7" fontId="48" fillId="0" borderId="0" xfId="17" applyNumberFormat="1" applyFont="1"/>
    <xf numFmtId="1" fontId="12" fillId="0" borderId="0" xfId="17" applyNumberFormat="1" applyFont="1" applyAlignment="1">
      <alignment horizontal="left"/>
    </xf>
    <xf numFmtId="0" fontId="42" fillId="0" borderId="0" xfId="17" applyFont="1"/>
    <xf numFmtId="3" fontId="18" fillId="0" borderId="17" xfId="17" applyNumberFormat="1" applyFont="1" applyBorder="1" applyAlignment="1">
      <alignment horizontal="center"/>
    </xf>
    <xf numFmtId="3" fontId="18" fillId="0" borderId="5" xfId="17" applyNumberFormat="1" applyFont="1" applyBorder="1" applyAlignment="1">
      <alignment horizontal="center"/>
    </xf>
    <xf numFmtId="5" fontId="18" fillId="0" borderId="1" xfId="17" applyNumberFormat="1" applyFont="1" applyBorder="1" applyAlignment="1">
      <alignment horizontal="center"/>
    </xf>
    <xf numFmtId="5" fontId="18" fillId="0" borderId="0" xfId="17" applyNumberFormat="1" applyFont="1" applyAlignment="1">
      <alignment horizontal="center"/>
    </xf>
    <xf numFmtId="38" fontId="18" fillId="0" borderId="1" xfId="17" applyNumberFormat="1" applyFont="1" applyBorder="1" applyAlignment="1">
      <alignment horizontal="center"/>
    </xf>
    <xf numFmtId="37" fontId="18" fillId="0" borderId="18" xfId="17" applyNumberFormat="1" applyFont="1" applyBorder="1" applyAlignment="1">
      <alignment horizontal="center"/>
    </xf>
    <xf numFmtId="37" fontId="18" fillId="0" borderId="1" xfId="17" applyNumberFormat="1" applyFont="1" applyBorder="1" applyAlignment="1">
      <alignment horizontal="center"/>
    </xf>
    <xf numFmtId="3" fontId="18" fillId="0" borderId="23" xfId="17" applyNumberFormat="1" applyFont="1" applyBorder="1" applyAlignment="1">
      <alignment horizontal="center"/>
    </xf>
    <xf numFmtId="38" fontId="18" fillId="0" borderId="24" xfId="17" applyNumberFormat="1" applyFont="1" applyBorder="1" applyAlignment="1">
      <alignment horizontal="center"/>
    </xf>
    <xf numFmtId="37" fontId="18" fillId="0" borderId="28" xfId="17" applyNumberFormat="1" applyFont="1" applyBorder="1" applyAlignment="1">
      <alignment horizontal="center"/>
    </xf>
    <xf numFmtId="37" fontId="18" fillId="0" borderId="29" xfId="17" applyNumberFormat="1" applyFont="1" applyBorder="1" applyAlignment="1">
      <alignment horizontal="center"/>
    </xf>
    <xf numFmtId="3" fontId="18" fillId="0" borderId="27" xfId="17" applyNumberFormat="1" applyFont="1" applyBorder="1" applyAlignment="1">
      <alignment horizontal="center"/>
    </xf>
    <xf numFmtId="10" fontId="18" fillId="0" borderId="0" xfId="17" applyNumberFormat="1" applyFont="1" applyAlignment="1">
      <alignment horizontal="center" vertical="center"/>
    </xf>
    <xf numFmtId="38" fontId="18" fillId="0" borderId="29" xfId="17" applyNumberFormat="1" applyFont="1" applyBorder="1" applyAlignment="1">
      <alignment horizontal="center"/>
    </xf>
    <xf numFmtId="3" fontId="46" fillId="0" borderId="17" xfId="17" applyNumberFormat="1" applyFont="1" applyBorder="1" applyAlignment="1">
      <alignment horizontal="center" vertical="center"/>
    </xf>
    <xf numFmtId="6" fontId="46" fillId="7" borderId="17" xfId="17" applyNumberFormat="1" applyFont="1" applyFill="1" applyBorder="1" applyAlignment="1">
      <alignment horizontal="center" vertical="center"/>
    </xf>
    <xf numFmtId="6" fontId="46" fillId="0" borderId="17" xfId="17" applyNumberFormat="1" applyFont="1" applyBorder="1" applyAlignment="1">
      <alignment horizontal="center" vertical="center"/>
    </xf>
    <xf numFmtId="6" fontId="46" fillId="7" borderId="20" xfId="17" applyNumberFormat="1" applyFont="1" applyFill="1" applyBorder="1" applyAlignment="1">
      <alignment horizontal="center" vertical="center"/>
    </xf>
    <xf numFmtId="171" fontId="18" fillId="0" borderId="0" xfId="17" applyNumberFormat="1" applyFont="1" applyAlignment="1">
      <alignment horizontal="left"/>
    </xf>
    <xf numFmtId="37" fontId="31" fillId="8" borderId="0" xfId="3" quotePrefix="1" applyNumberFormat="1" applyFont="1" applyFill="1" applyAlignment="1">
      <alignment horizontal="center"/>
    </xf>
    <xf numFmtId="165" fontId="32" fillId="8" borderId="0" xfId="3" applyFont="1" applyFill="1" applyAlignment="1">
      <alignment horizontal="center" vertical="center"/>
    </xf>
    <xf numFmtId="165" fontId="32" fillId="8" borderId="0" xfId="3" applyFont="1" applyFill="1" applyAlignment="1">
      <alignment horizontal="center"/>
    </xf>
    <xf numFmtId="169" fontId="29" fillId="8" borderId="0" xfId="3" applyNumberFormat="1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168" fontId="25" fillId="0" borderId="0" xfId="0" applyNumberFormat="1" applyFont="1" applyAlignment="1">
      <alignment horizontal="center" vertical="center"/>
    </xf>
    <xf numFmtId="3" fontId="25" fillId="0" borderId="0" xfId="17" applyNumberFormat="1" applyFont="1" applyAlignment="1">
      <alignment horizontal="center" vertical="center"/>
    </xf>
    <xf numFmtId="168" fontId="25" fillId="0" borderId="0" xfId="17" applyNumberFormat="1" applyFont="1" applyAlignment="1">
      <alignment horizontal="center" vertical="center"/>
    </xf>
    <xf numFmtId="169" fontId="14" fillId="0" borderId="44" xfId="3" applyNumberFormat="1" applyFont="1" applyBorder="1" applyAlignment="1">
      <alignment horizontal="center"/>
    </xf>
    <xf numFmtId="169" fontId="14" fillId="0" borderId="42" xfId="3" applyNumberFormat="1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169" fontId="14" fillId="0" borderId="43" xfId="3" applyNumberFormat="1" applyFont="1" applyBorder="1" applyAlignment="1">
      <alignment horizontal="center"/>
    </xf>
    <xf numFmtId="0" fontId="28" fillId="0" borderId="14" xfId="0" applyFont="1" applyBorder="1" applyAlignment="1">
      <alignment horizontal="center" vertical="center"/>
    </xf>
    <xf numFmtId="168" fontId="28" fillId="0" borderId="41" xfId="0" applyNumberFormat="1" applyFont="1" applyBorder="1" applyAlignment="1">
      <alignment horizontal="center" vertical="center"/>
    </xf>
    <xf numFmtId="168" fontId="28" fillId="0" borderId="38" xfId="0" applyNumberFormat="1" applyFont="1" applyBorder="1" applyAlignment="1">
      <alignment horizontal="center" vertical="center"/>
    </xf>
    <xf numFmtId="168" fontId="28" fillId="0" borderId="0" xfId="0" applyNumberFormat="1" applyFont="1" applyAlignment="1">
      <alignment horizontal="center" vertical="center"/>
    </xf>
    <xf numFmtId="168" fontId="28" fillId="0" borderId="21" xfId="0" applyNumberFormat="1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168" fontId="28" fillId="0" borderId="40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168" fontId="28" fillId="0" borderId="4" xfId="0" applyNumberFormat="1" applyFont="1" applyBorder="1" applyAlignment="1">
      <alignment horizontal="center" vertical="center"/>
    </xf>
    <xf numFmtId="164" fontId="30" fillId="5" borderId="0" xfId="15" applyNumberFormat="1" applyFont="1" applyFill="1" applyAlignment="1">
      <alignment horizontal="center"/>
    </xf>
    <xf numFmtId="165" fontId="10" fillId="2" borderId="0" xfId="3" applyFont="1" applyFill="1"/>
    <xf numFmtId="165" fontId="9" fillId="0" borderId="0" xfId="3" applyFont="1" applyAlignment="1">
      <alignment horizontal="right" indent="2"/>
    </xf>
    <xf numFmtId="3" fontId="9" fillId="0" borderId="0" xfId="3" applyNumberFormat="1" applyFont="1" applyAlignment="1">
      <alignment horizontal="center"/>
    </xf>
    <xf numFmtId="5" fontId="28" fillId="0" borderId="0" xfId="3" applyNumberFormat="1" applyFont="1" applyAlignment="1">
      <alignment horizontal="center"/>
    </xf>
    <xf numFmtId="37" fontId="26" fillId="0" borderId="2" xfId="3" applyNumberFormat="1" applyFont="1" applyBorder="1" applyAlignment="1">
      <alignment horizontal="center"/>
    </xf>
    <xf numFmtId="1" fontId="14" fillId="0" borderId="2" xfId="5" applyNumberFormat="1" applyFont="1" applyFill="1" applyBorder="1" applyAlignment="1">
      <alignment horizontal="center" vertical="center"/>
    </xf>
    <xf numFmtId="1" fontId="28" fillId="0" borderId="2" xfId="2" applyNumberFormat="1" applyFont="1" applyFill="1" applyBorder="1" applyAlignment="1">
      <alignment horizontal="center" vertical="center"/>
    </xf>
    <xf numFmtId="1" fontId="26" fillId="0" borderId="2" xfId="5" applyNumberFormat="1" applyFont="1" applyFill="1" applyBorder="1" applyAlignment="1">
      <alignment horizontal="center" vertical="center"/>
    </xf>
    <xf numFmtId="169" fontId="12" fillId="0" borderId="0" xfId="3" applyNumberFormat="1" applyFont="1" applyAlignment="1">
      <alignment horizontal="center"/>
    </xf>
    <xf numFmtId="168" fontId="12" fillId="0" borderId="0" xfId="3" applyNumberFormat="1" applyFont="1"/>
    <xf numFmtId="0" fontId="0" fillId="0" borderId="0" xfId="0" applyAlignment="1">
      <alignment wrapText="1"/>
    </xf>
    <xf numFmtId="39" fontId="26" fillId="0" borderId="0" xfId="3" applyNumberFormat="1" applyFont="1" applyAlignment="1">
      <alignment horizontal="center"/>
    </xf>
    <xf numFmtId="1" fontId="42" fillId="0" borderId="36" xfId="17" applyNumberFormat="1" applyFont="1" applyBorder="1" applyAlignment="1">
      <alignment horizontal="center" vertical="center" wrapText="1"/>
    </xf>
    <xf numFmtId="3" fontId="44" fillId="0" borderId="1" xfId="18" applyNumberFormat="1" applyFont="1" applyBorder="1" applyAlignment="1">
      <alignment horizontal="center" vertical="center"/>
    </xf>
    <xf numFmtId="5" fontId="18" fillId="7" borderId="17" xfId="17" applyNumberFormat="1" applyFont="1" applyFill="1" applyBorder="1" applyAlignment="1">
      <alignment horizontal="center"/>
    </xf>
    <xf numFmtId="6" fontId="18" fillId="0" borderId="45" xfId="17" applyNumberFormat="1" applyFont="1" applyBorder="1" applyAlignment="1">
      <alignment horizontal="center" vertical="center"/>
    </xf>
    <xf numFmtId="164" fontId="18" fillId="7" borderId="17" xfId="5" applyNumberFormat="1" applyFont="1" applyFill="1" applyBorder="1" applyAlignment="1">
      <alignment horizontal="center"/>
    </xf>
    <xf numFmtId="169" fontId="44" fillId="0" borderId="18" xfId="21" applyNumberFormat="1" applyFont="1" applyBorder="1" applyAlignment="1">
      <alignment horizontal="center" vertical="center"/>
    </xf>
    <xf numFmtId="5" fontId="18" fillId="0" borderId="1" xfId="19" applyNumberFormat="1" applyBorder="1" applyAlignment="1">
      <alignment horizontal="center" vertical="center" wrapText="1"/>
    </xf>
    <xf numFmtId="3" fontId="18" fillId="0" borderId="1" xfId="18" applyNumberFormat="1" applyFont="1" applyBorder="1" applyAlignment="1">
      <alignment horizontal="center" vertical="center"/>
    </xf>
    <xf numFmtId="38" fontId="18" fillId="0" borderId="18" xfId="24" applyNumberFormat="1" applyFont="1" applyBorder="1" applyAlignment="1">
      <alignment horizontal="center" vertical="center" wrapText="1"/>
    </xf>
    <xf numFmtId="38" fontId="18" fillId="0" borderId="18" xfId="25" applyNumberFormat="1" applyFont="1" applyBorder="1" applyAlignment="1">
      <alignment horizontal="center" vertical="center" wrapText="1"/>
    </xf>
    <xf numFmtId="38" fontId="18" fillId="0" borderId="1" xfId="22" applyNumberFormat="1" applyBorder="1" applyAlignment="1">
      <alignment horizontal="center" vertical="center" wrapText="1"/>
    </xf>
    <xf numFmtId="171" fontId="18" fillId="0" borderId="47" xfId="17" quotePrefix="1" applyNumberFormat="1" applyFont="1" applyBorder="1" applyAlignment="1">
      <alignment horizontal="left"/>
    </xf>
    <xf numFmtId="3" fontId="44" fillId="0" borderId="48" xfId="18" applyNumberFormat="1" applyFont="1" applyBorder="1" applyAlignment="1">
      <alignment horizontal="center" vertical="center"/>
    </xf>
    <xf numFmtId="38" fontId="18" fillId="7" borderId="49" xfId="17" applyNumberFormat="1" applyFont="1" applyFill="1" applyBorder="1" applyAlignment="1">
      <alignment horizontal="center"/>
    </xf>
    <xf numFmtId="38" fontId="18" fillId="0" borderId="50" xfId="19" applyNumberFormat="1" applyBorder="1" applyAlignment="1">
      <alignment horizontal="center" vertical="center" wrapText="1"/>
    </xf>
    <xf numFmtId="38" fontId="18" fillId="0" borderId="48" xfId="19" applyNumberFormat="1" applyBorder="1" applyAlignment="1">
      <alignment horizontal="center" vertical="center" wrapText="1"/>
    </xf>
    <xf numFmtId="38" fontId="18" fillId="0" borderId="50" xfId="17" applyNumberFormat="1" applyFont="1" applyBorder="1" applyAlignment="1">
      <alignment horizontal="center" vertical="center"/>
    </xf>
    <xf numFmtId="164" fontId="18" fillId="7" borderId="49" xfId="5" applyNumberFormat="1" applyFont="1" applyFill="1" applyBorder="1" applyAlignment="1">
      <alignment horizontal="center"/>
    </xf>
    <xf numFmtId="3" fontId="44" fillId="0" borderId="29" xfId="18" applyNumberFormat="1" applyFont="1" applyBorder="1" applyAlignment="1">
      <alignment horizontal="center" vertical="center"/>
    </xf>
    <xf numFmtId="164" fontId="18" fillId="7" borderId="27" xfId="5" applyNumberFormat="1" applyFont="1" applyFill="1" applyBorder="1" applyAlignment="1">
      <alignment horizontal="center"/>
    </xf>
    <xf numFmtId="3" fontId="46" fillId="0" borderId="34" xfId="5" applyNumberFormat="1" applyFont="1" applyFill="1" applyBorder="1" applyAlignment="1">
      <alignment horizontal="center" vertical="center"/>
    </xf>
    <xf numFmtId="164" fontId="46" fillId="7" borderId="34" xfId="5" applyNumberFormat="1" applyFont="1" applyFill="1" applyBorder="1" applyAlignment="1">
      <alignment horizontal="center" vertical="center"/>
    </xf>
    <xf numFmtId="3" fontId="46" fillId="0" borderId="17" xfId="5" applyNumberFormat="1" applyFont="1" applyFill="1" applyBorder="1" applyAlignment="1">
      <alignment horizontal="center" vertical="center"/>
    </xf>
    <xf numFmtId="164" fontId="46" fillId="7" borderId="17" xfId="5" applyNumberFormat="1" applyFont="1" applyFill="1" applyBorder="1" applyAlignment="1">
      <alignment horizontal="center" vertical="center"/>
    </xf>
    <xf numFmtId="3" fontId="46" fillId="0" borderId="13" xfId="5" applyNumberFormat="1" applyFont="1" applyFill="1" applyBorder="1" applyAlignment="1">
      <alignment horizontal="center" vertical="center"/>
    </xf>
    <xf numFmtId="3" fontId="46" fillId="0" borderId="34" xfId="17" applyNumberFormat="1" applyFont="1" applyBorder="1" applyAlignment="1">
      <alignment horizontal="center" vertical="center"/>
    </xf>
    <xf numFmtId="1" fontId="42" fillId="7" borderId="10" xfId="17" applyNumberFormat="1" applyFont="1" applyFill="1" applyBorder="1" applyAlignment="1">
      <alignment horizontal="center" vertical="center" wrapText="1"/>
    </xf>
    <xf numFmtId="1" fontId="42" fillId="0" borderId="0" xfId="17" applyNumberFormat="1" applyFont="1" applyAlignment="1">
      <alignment horizontal="center" wrapText="1"/>
    </xf>
    <xf numFmtId="1" fontId="51" fillId="0" borderId="39" xfId="17" applyNumberFormat="1" applyFont="1" applyBorder="1" applyAlignment="1">
      <alignment horizontal="center" vertical="center" wrapText="1"/>
    </xf>
    <xf numFmtId="1" fontId="51" fillId="0" borderId="12" xfId="17" applyNumberFormat="1" applyFont="1" applyBorder="1" applyAlignment="1">
      <alignment horizontal="center" vertical="center" wrapText="1"/>
    </xf>
    <xf numFmtId="1" fontId="51" fillId="0" borderId="13" xfId="17" applyNumberFormat="1" applyFont="1" applyBorder="1" applyAlignment="1">
      <alignment horizontal="center" vertical="center" wrapText="1"/>
    </xf>
    <xf numFmtId="1" fontId="51" fillId="0" borderId="36" xfId="17" applyNumberFormat="1" applyFont="1" applyBorder="1" applyAlignment="1">
      <alignment horizontal="center" vertical="center" wrapText="1"/>
    </xf>
    <xf numFmtId="1" fontId="52" fillId="0" borderId="0" xfId="17" applyNumberFormat="1" applyFont="1" applyAlignment="1">
      <alignment horizontal="center" vertical="center" wrapText="1"/>
    </xf>
    <xf numFmtId="5" fontId="18" fillId="7" borderId="18" xfId="17" applyNumberFormat="1" applyFont="1" applyFill="1" applyBorder="1" applyAlignment="1">
      <alignment horizontal="center"/>
    </xf>
    <xf numFmtId="164" fontId="18" fillId="7" borderId="19" xfId="5" applyNumberFormat="1" applyFill="1" applyBorder="1" applyAlignment="1">
      <alignment horizontal="center"/>
    </xf>
    <xf numFmtId="5" fontId="18" fillId="0" borderId="19" xfId="17" applyNumberFormat="1" applyFont="1" applyBorder="1" applyAlignment="1">
      <alignment horizontal="center"/>
    </xf>
    <xf numFmtId="164" fontId="35" fillId="0" borderId="0" xfId="5" applyNumberFormat="1" applyFont="1" applyFill="1" applyAlignment="1">
      <alignment horizontal="center"/>
    </xf>
    <xf numFmtId="37" fontId="18" fillId="7" borderId="18" xfId="17" applyNumberFormat="1" applyFont="1" applyFill="1" applyBorder="1" applyAlignment="1">
      <alignment horizontal="center"/>
    </xf>
    <xf numFmtId="37" fontId="18" fillId="0" borderId="19" xfId="17" applyNumberFormat="1" applyFont="1" applyBorder="1" applyAlignment="1">
      <alignment horizontal="center"/>
    </xf>
    <xf numFmtId="164" fontId="18" fillId="7" borderId="25" xfId="5" applyNumberFormat="1" applyFill="1" applyBorder="1" applyAlignment="1">
      <alignment horizontal="center"/>
    </xf>
    <xf numFmtId="3" fontId="18" fillId="0" borderId="26" xfId="17" applyNumberFormat="1" applyFont="1" applyBorder="1" applyAlignment="1">
      <alignment horizontal="center"/>
    </xf>
    <xf numFmtId="37" fontId="18" fillId="0" borderId="32" xfId="17" applyNumberFormat="1" applyFont="1" applyBorder="1" applyAlignment="1">
      <alignment horizontal="center"/>
    </xf>
    <xf numFmtId="164" fontId="18" fillId="7" borderId="32" xfId="5" applyNumberFormat="1" applyFill="1" applyBorder="1" applyAlignment="1">
      <alignment horizontal="center"/>
    </xf>
    <xf numFmtId="6" fontId="46" fillId="0" borderId="0" xfId="5" applyNumberFormat="1" applyFont="1" applyAlignment="1">
      <alignment horizontal="center" vertical="center"/>
    </xf>
    <xf numFmtId="37" fontId="46" fillId="0" borderId="34" xfId="5" applyNumberFormat="1" applyFont="1" applyBorder="1" applyAlignment="1">
      <alignment horizontal="center" vertical="center"/>
    </xf>
    <xf numFmtId="6" fontId="46" fillId="0" borderId="34" xfId="5" applyNumberFormat="1" applyFont="1" applyBorder="1" applyAlignment="1">
      <alignment horizontal="center" vertical="center"/>
    </xf>
    <xf numFmtId="164" fontId="46" fillId="7" borderId="35" xfId="5" applyNumberFormat="1" applyFont="1" applyFill="1" applyBorder="1" applyAlignment="1">
      <alignment horizontal="center" vertical="center"/>
    </xf>
    <xf numFmtId="37" fontId="46" fillId="0" borderId="17" xfId="17" applyNumberFormat="1" applyFont="1" applyBorder="1" applyAlignment="1">
      <alignment horizontal="center" vertical="center"/>
    </xf>
    <xf numFmtId="164" fontId="46" fillId="7" borderId="19" xfId="17" applyNumberFormat="1" applyFont="1" applyFill="1" applyBorder="1" applyAlignment="1">
      <alignment horizontal="center" vertical="center"/>
    </xf>
    <xf numFmtId="6" fontId="46" fillId="0" borderId="0" xfId="17" applyNumberFormat="1" applyFont="1" applyAlignment="1">
      <alignment horizontal="center" vertical="center"/>
    </xf>
    <xf numFmtId="164" fontId="46" fillId="7" borderId="32" xfId="5" applyNumberFormat="1" applyFont="1" applyFill="1" applyBorder="1" applyAlignment="1">
      <alignment horizontal="center" vertical="center"/>
    </xf>
    <xf numFmtId="164" fontId="46" fillId="0" borderId="0" xfId="5" applyNumberFormat="1" applyFont="1" applyAlignment="1">
      <alignment horizontal="center" vertical="center"/>
    </xf>
    <xf numFmtId="37" fontId="46" fillId="0" borderId="13" xfId="5" applyNumberFormat="1" applyFont="1" applyBorder="1" applyAlignment="1">
      <alignment horizontal="center" vertical="center"/>
    </xf>
    <xf numFmtId="6" fontId="46" fillId="0" borderId="13" xfId="5" applyNumberFormat="1" applyFont="1" applyBorder="1" applyAlignment="1">
      <alignment horizontal="center" vertical="center"/>
    </xf>
    <xf numFmtId="164" fontId="46" fillId="7" borderId="36" xfId="5" applyNumberFormat="1" applyFont="1" applyFill="1" applyBorder="1" applyAlignment="1">
      <alignment horizontal="center" vertical="center"/>
    </xf>
    <xf numFmtId="5" fontId="45" fillId="0" borderId="0" xfId="17" quotePrefix="1" applyNumberFormat="1" applyFont="1" applyAlignment="1">
      <alignment horizontal="left" vertical="center"/>
    </xf>
    <xf numFmtId="1" fontId="46" fillId="0" borderId="33" xfId="17" applyNumberFormat="1" applyFont="1" applyBorder="1" applyAlignment="1">
      <alignment horizontal="left" vertical="center"/>
    </xf>
    <xf numFmtId="37" fontId="46" fillId="0" borderId="20" xfId="17" applyNumberFormat="1" applyFont="1" applyBorder="1" applyAlignment="1">
      <alignment horizontal="center" vertical="center"/>
    </xf>
    <xf numFmtId="164" fontId="46" fillId="7" borderId="35" xfId="17" applyNumberFormat="1" applyFont="1" applyFill="1" applyBorder="1" applyAlignment="1">
      <alignment horizontal="center" vertical="center"/>
    </xf>
    <xf numFmtId="1" fontId="46" fillId="0" borderId="5" xfId="17" applyNumberFormat="1" applyFont="1" applyBorder="1" applyAlignment="1">
      <alignment horizontal="left" vertical="center"/>
    </xf>
    <xf numFmtId="37" fontId="46" fillId="0" borderId="18" xfId="17" applyNumberFormat="1" applyFont="1" applyBorder="1" applyAlignment="1">
      <alignment horizontal="center" vertical="center"/>
    </xf>
    <xf numFmtId="5" fontId="46" fillId="7" borderId="1" xfId="17" applyNumberFormat="1" applyFont="1" applyFill="1" applyBorder="1" applyAlignment="1">
      <alignment horizontal="center" vertical="center"/>
    </xf>
    <xf numFmtId="3" fontId="46" fillId="0" borderId="26" xfId="17" applyNumberFormat="1" applyFont="1" applyBorder="1" applyAlignment="1">
      <alignment horizontal="left" vertical="center"/>
    </xf>
    <xf numFmtId="37" fontId="46" fillId="0" borderId="28" xfId="17" applyNumberFormat="1" applyFont="1" applyBorder="1" applyAlignment="1">
      <alignment horizontal="center" vertical="center"/>
    </xf>
    <xf numFmtId="5" fontId="46" fillId="7" borderId="29" xfId="17" applyNumberFormat="1" applyFont="1" applyFill="1" applyBorder="1" applyAlignment="1">
      <alignment horizontal="center" vertical="center"/>
    </xf>
    <xf numFmtId="164" fontId="46" fillId="7" borderId="32" xfId="17" applyNumberFormat="1" applyFont="1" applyFill="1" applyBorder="1" applyAlignment="1">
      <alignment horizontal="center" vertical="center"/>
    </xf>
    <xf numFmtId="1" fontId="51" fillId="0" borderId="0" xfId="17" applyNumberFormat="1" applyFont="1" applyAlignment="1">
      <alignment horizontal="center" vertical="center" wrapText="1"/>
    </xf>
    <xf numFmtId="164" fontId="18" fillId="0" borderId="0" xfId="5" applyNumberFormat="1" applyFont="1" applyFill="1" applyAlignment="1">
      <alignment horizontal="center"/>
    </xf>
    <xf numFmtId="6" fontId="47" fillId="0" borderId="0" xfId="5" applyNumberFormat="1" applyFont="1" applyAlignment="1">
      <alignment horizontal="center" vertical="center"/>
    </xf>
    <xf numFmtId="164" fontId="47" fillId="0" borderId="0" xfId="5" applyNumberFormat="1" applyFont="1" applyAlignment="1">
      <alignment horizontal="center" vertical="center"/>
    </xf>
    <xf numFmtId="38" fontId="46" fillId="0" borderId="34" xfId="5" applyNumberFormat="1" applyFont="1" applyBorder="1" applyAlignment="1">
      <alignment horizontal="center" vertical="center"/>
    </xf>
    <xf numFmtId="38" fontId="46" fillId="0" borderId="17" xfId="17" applyNumberFormat="1" applyFont="1" applyBorder="1" applyAlignment="1">
      <alignment horizontal="center" vertical="center"/>
    </xf>
    <xf numFmtId="6" fontId="47" fillId="0" borderId="0" xfId="17" applyNumberFormat="1" applyFont="1" applyAlignment="1">
      <alignment horizontal="center" vertical="center"/>
    </xf>
    <xf numFmtId="38" fontId="46" fillId="0" borderId="13" xfId="5" applyNumberFormat="1" applyFont="1" applyBorder="1" applyAlignment="1">
      <alignment horizontal="center" vertical="center"/>
    </xf>
    <xf numFmtId="38" fontId="46" fillId="0" borderId="20" xfId="17" applyNumberFormat="1" applyFont="1" applyBorder="1" applyAlignment="1">
      <alignment horizontal="center" vertical="center"/>
    </xf>
    <xf numFmtId="5" fontId="47" fillId="0" borderId="0" xfId="17" applyNumberFormat="1" applyFont="1" applyAlignment="1">
      <alignment horizontal="center" vertical="center"/>
    </xf>
    <xf numFmtId="38" fontId="46" fillId="0" borderId="18" xfId="17" applyNumberFormat="1" applyFont="1" applyBorder="1" applyAlignment="1">
      <alignment horizontal="center" vertical="center"/>
    </xf>
    <xf numFmtId="38" fontId="46" fillId="0" borderId="28" xfId="17" applyNumberFormat="1" applyFont="1" applyBorder="1" applyAlignment="1">
      <alignment horizontal="center" vertical="center"/>
    </xf>
    <xf numFmtId="169" fontId="9" fillId="0" borderId="4" xfId="3" applyNumberFormat="1" applyFont="1" applyBorder="1" applyAlignment="1">
      <alignment horizontal="center"/>
    </xf>
    <xf numFmtId="169" fontId="9" fillId="0" borderId="46" xfId="3" applyNumberFormat="1" applyFont="1" applyBorder="1" applyAlignment="1">
      <alignment horizontal="center"/>
    </xf>
    <xf numFmtId="169" fontId="9" fillId="0" borderId="52" xfId="3" applyNumberFormat="1" applyFont="1" applyBorder="1" applyAlignment="1">
      <alignment horizontal="center"/>
    </xf>
    <xf numFmtId="0" fontId="53" fillId="0" borderId="0" xfId="0" applyFont="1"/>
    <xf numFmtId="168" fontId="7" fillId="0" borderId="0" xfId="0" applyNumberFormat="1" applyFont="1"/>
    <xf numFmtId="0" fontId="7" fillId="0" borderId="0" xfId="0" applyFont="1"/>
    <xf numFmtId="0" fontId="7" fillId="2" borderId="0" xfId="0" applyFont="1" applyFill="1"/>
    <xf numFmtId="169" fontId="7" fillId="0" borderId="0" xfId="0" applyNumberFormat="1" applyFont="1"/>
    <xf numFmtId="164" fontId="7" fillId="0" borderId="0" xfId="1" applyNumberFormat="1" applyFont="1"/>
    <xf numFmtId="164" fontId="54" fillId="0" borderId="0" xfId="1" applyNumberFormat="1" applyFont="1"/>
    <xf numFmtId="0" fontId="57" fillId="0" borderId="0" xfId="0" applyFont="1"/>
    <xf numFmtId="0" fontId="54" fillId="0" borderId="0" xfId="0" quotePrefix="1" applyFont="1"/>
    <xf numFmtId="0" fontId="6" fillId="0" borderId="0" xfId="0" applyFont="1"/>
    <xf numFmtId="0" fontId="0" fillId="0" borderId="0" xfId="0" applyAlignment="1">
      <alignment horizontal="center"/>
    </xf>
    <xf numFmtId="165" fontId="29" fillId="8" borderId="0" xfId="3" applyFont="1" applyFill="1"/>
    <xf numFmtId="165" fontId="61" fillId="8" borderId="0" xfId="3" applyFont="1" applyFill="1"/>
    <xf numFmtId="164" fontId="61" fillId="8" borderId="0" xfId="5" applyNumberFormat="1" applyFont="1" applyFill="1" applyAlignment="1">
      <alignment horizontal="center"/>
    </xf>
    <xf numFmtId="0" fontId="55" fillId="0" borderId="0" xfId="0" applyFont="1"/>
    <xf numFmtId="164" fontId="54" fillId="0" borderId="0" xfId="0" applyNumberFormat="1" applyFont="1" applyAlignment="1">
      <alignment horizontal="center"/>
    </xf>
    <xf numFmtId="0" fontId="62" fillId="0" borderId="0" xfId="0" applyFont="1"/>
    <xf numFmtId="164" fontId="54" fillId="0" borderId="0" xfId="1" applyNumberFormat="1" applyFont="1" applyFill="1" applyBorder="1" applyAlignment="1">
      <alignment horizontal="center"/>
    </xf>
    <xf numFmtId="164" fontId="56" fillId="0" borderId="0" xfId="1" applyNumberFormat="1" applyFont="1" applyFill="1" applyBorder="1"/>
    <xf numFmtId="164" fontId="57" fillId="0" borderId="0" xfId="1" applyNumberFormat="1" applyFont="1" applyFill="1" applyBorder="1" applyAlignment="1">
      <alignment horizontal="center"/>
    </xf>
    <xf numFmtId="0" fontId="53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8" fillId="0" borderId="0" xfId="0" quotePrefix="1" applyFont="1"/>
    <xf numFmtId="0" fontId="2" fillId="0" borderId="0" xfId="0" applyFont="1"/>
    <xf numFmtId="43" fontId="63" fillId="2" borderId="0" xfId="2" applyFont="1" applyFill="1" applyAlignment="1">
      <alignment horizontal="center"/>
    </xf>
    <xf numFmtId="43" fontId="63" fillId="0" borderId="0" xfId="2" applyFont="1" applyFill="1" applyAlignment="1">
      <alignment horizontal="center"/>
    </xf>
    <xf numFmtId="0" fontId="64" fillId="8" borderId="0" xfId="0" applyFont="1" applyFill="1"/>
    <xf numFmtId="0" fontId="50" fillId="8" borderId="0" xfId="0" applyFont="1" applyFill="1"/>
    <xf numFmtId="0" fontId="65" fillId="8" borderId="0" xfId="0" applyFont="1" applyFill="1"/>
    <xf numFmtId="0" fontId="66" fillId="0" borderId="53" xfId="0" applyFont="1" applyBorder="1"/>
    <xf numFmtId="0" fontId="66" fillId="0" borderId="54" xfId="0" applyFont="1" applyBorder="1" applyAlignment="1">
      <alignment horizontal="center"/>
    </xf>
    <xf numFmtId="0" fontId="66" fillId="0" borderId="55" xfId="0" applyFont="1" applyBorder="1" applyAlignment="1">
      <alignment horizontal="center"/>
    </xf>
    <xf numFmtId="0" fontId="66" fillId="0" borderId="56" xfId="0" applyFont="1" applyBorder="1"/>
    <xf numFmtId="0" fontId="66" fillId="0" borderId="2" xfId="0" applyFont="1" applyBorder="1" applyAlignment="1">
      <alignment horizontal="center"/>
    </xf>
    <xf numFmtId="0" fontId="66" fillId="0" borderId="2" xfId="0" quotePrefix="1" applyFont="1" applyBorder="1" applyAlignment="1">
      <alignment horizontal="center"/>
    </xf>
    <xf numFmtId="0" fontId="66" fillId="0" borderId="57" xfId="0" applyFont="1" applyBorder="1" applyAlignment="1">
      <alignment horizontal="center"/>
    </xf>
    <xf numFmtId="0" fontId="66" fillId="0" borderId="17" xfId="0" applyFont="1" applyBorder="1"/>
    <xf numFmtId="0" fontId="66" fillId="0" borderId="0" xfId="0" applyFont="1" applyAlignment="1">
      <alignment horizontal="center"/>
    </xf>
    <xf numFmtId="0" fontId="58" fillId="0" borderId="17" xfId="0" quotePrefix="1" applyFont="1" applyBorder="1" applyAlignment="1">
      <alignment horizontal="center"/>
    </xf>
    <xf numFmtId="0" fontId="58" fillId="2" borderId="17" xfId="0" applyFont="1" applyFill="1" applyBorder="1" applyAlignment="1">
      <alignment horizontal="center"/>
    </xf>
    <xf numFmtId="0" fontId="58" fillId="0" borderId="17" xfId="0" applyFont="1" applyBorder="1" applyAlignment="1">
      <alignment horizontal="center"/>
    </xf>
    <xf numFmtId="0" fontId="59" fillId="2" borderId="17" xfId="0" applyFont="1" applyFill="1" applyBorder="1" applyAlignment="1">
      <alignment horizontal="center"/>
    </xf>
    <xf numFmtId="0" fontId="59" fillId="2" borderId="0" xfId="0" applyFont="1" applyFill="1" applyAlignment="1">
      <alignment horizontal="center"/>
    </xf>
    <xf numFmtId="5" fontId="59" fillId="2" borderId="0" xfId="0" applyNumberFormat="1" applyFont="1" applyFill="1" applyAlignment="1">
      <alignment horizontal="center"/>
    </xf>
    <xf numFmtId="168" fontId="59" fillId="2" borderId="0" xfId="0" applyNumberFormat="1" applyFont="1" applyFill="1" applyAlignment="1">
      <alignment horizontal="center"/>
    </xf>
    <xf numFmtId="164" fontId="59" fillId="2" borderId="1" xfId="1" applyNumberFormat="1" applyFont="1" applyFill="1" applyBorder="1"/>
    <xf numFmtId="0" fontId="60" fillId="2" borderId="56" xfId="0" applyFont="1" applyFill="1" applyBorder="1" applyAlignment="1">
      <alignment horizontal="center"/>
    </xf>
    <xf numFmtId="1" fontId="60" fillId="2" borderId="2" xfId="0" applyNumberFormat="1" applyFont="1" applyFill="1" applyBorder="1" applyAlignment="1">
      <alignment horizontal="center"/>
    </xf>
    <xf numFmtId="5" fontId="60" fillId="2" borderId="2" xfId="0" applyNumberFormat="1" applyFont="1" applyFill="1" applyBorder="1" applyAlignment="1">
      <alignment horizontal="center"/>
    </xf>
    <xf numFmtId="164" fontId="60" fillId="2" borderId="2" xfId="1" applyNumberFormat="1" applyFont="1" applyFill="1" applyBorder="1" applyAlignment="1">
      <alignment horizontal="center"/>
    </xf>
    <xf numFmtId="164" fontId="60" fillId="2" borderId="57" xfId="1" applyNumberFormat="1" applyFont="1" applyFill="1" applyBorder="1" applyAlignment="1">
      <alignment horizontal="center"/>
    </xf>
    <xf numFmtId="0" fontId="66" fillId="0" borderId="4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/>
    </xf>
    <xf numFmtId="0" fontId="66" fillId="0" borderId="52" xfId="0" quotePrefix="1" applyFont="1" applyBorder="1" applyAlignment="1">
      <alignment horizontal="center" vertical="center"/>
    </xf>
    <xf numFmtId="0" fontId="66" fillId="0" borderId="52" xfId="0" applyFont="1" applyBorder="1" applyAlignment="1">
      <alignment horizontal="center" vertical="center"/>
    </xf>
    <xf numFmtId="0" fontId="66" fillId="0" borderId="52" xfId="0" applyFont="1" applyBorder="1" applyAlignment="1">
      <alignment horizontal="center"/>
    </xf>
    <xf numFmtId="0" fontId="66" fillId="0" borderId="46" xfId="0" applyFont="1" applyBorder="1" applyAlignment="1">
      <alignment horizontal="center" vertical="center"/>
    </xf>
    <xf numFmtId="168" fontId="67" fillId="0" borderId="46" xfId="0" applyNumberFormat="1" applyFont="1" applyBorder="1" applyAlignment="1">
      <alignment horizontal="center" vertical="center"/>
    </xf>
    <xf numFmtId="0" fontId="67" fillId="0" borderId="46" xfId="0" applyFont="1" applyBorder="1" applyAlignment="1">
      <alignment horizontal="center" vertical="center"/>
    </xf>
    <xf numFmtId="0" fontId="67" fillId="0" borderId="46" xfId="0" applyFont="1" applyBorder="1" applyAlignment="1">
      <alignment horizontal="center"/>
    </xf>
    <xf numFmtId="168" fontId="67" fillId="2" borderId="46" xfId="0" applyNumberFormat="1" applyFont="1" applyFill="1" applyBorder="1" applyAlignment="1">
      <alignment horizontal="center" vertical="center"/>
    </xf>
    <xf numFmtId="0" fontId="67" fillId="2" borderId="46" xfId="0" applyFont="1" applyFill="1" applyBorder="1" applyAlignment="1">
      <alignment horizontal="center" vertical="center"/>
    </xf>
    <xf numFmtId="168" fontId="68" fillId="0" borderId="46" xfId="0" applyNumberFormat="1" applyFont="1" applyBorder="1" applyAlignment="1">
      <alignment horizontal="center" vertical="center"/>
    </xf>
    <xf numFmtId="0" fontId="68" fillId="0" borderId="46" xfId="0" applyFont="1" applyBorder="1" applyAlignment="1">
      <alignment horizontal="center" vertical="center"/>
    </xf>
    <xf numFmtId="7" fontId="67" fillId="0" borderId="46" xfId="0" applyNumberFormat="1" applyFont="1" applyBorder="1" applyAlignment="1">
      <alignment horizontal="center" vertical="center"/>
    </xf>
    <xf numFmtId="43" fontId="60" fillId="2" borderId="52" xfId="2" applyFont="1" applyFill="1" applyBorder="1" applyAlignment="1">
      <alignment horizontal="center" vertical="center"/>
    </xf>
    <xf numFmtId="0" fontId="69" fillId="8" borderId="52" xfId="0" applyFont="1" applyFill="1" applyBorder="1" applyAlignment="1">
      <alignment horizontal="center" vertical="center"/>
    </xf>
    <xf numFmtId="169" fontId="70" fillId="8" borderId="52" xfId="0" applyNumberFormat="1" applyFont="1" applyFill="1" applyBorder="1" applyAlignment="1">
      <alignment horizontal="center"/>
    </xf>
    <xf numFmtId="0" fontId="18" fillId="0" borderId="0" xfId="13" applyAlignment="1">
      <alignment horizontal="center"/>
    </xf>
    <xf numFmtId="169" fontId="16" fillId="2" borderId="0" xfId="3" quotePrefix="1" applyNumberFormat="1" applyFont="1" applyFill="1" applyAlignment="1">
      <alignment horizontal="left"/>
    </xf>
    <xf numFmtId="169" fontId="16" fillId="2" borderId="0" xfId="3" applyNumberFormat="1" applyFont="1" applyFill="1" applyAlignment="1">
      <alignment horizontal="left"/>
    </xf>
    <xf numFmtId="168" fontId="61" fillId="8" borderId="0" xfId="5" applyNumberFormat="1" applyFont="1" applyFill="1" applyAlignment="1">
      <alignment horizontal="center"/>
    </xf>
    <xf numFmtId="165" fontId="9" fillId="0" borderId="0" xfId="3" applyFont="1" applyAlignment="1">
      <alignment horizontal="left"/>
    </xf>
    <xf numFmtId="165" fontId="14" fillId="0" borderId="14" xfId="3" applyFont="1" applyBorder="1" applyAlignment="1">
      <alignment horizontal="center"/>
    </xf>
    <xf numFmtId="165" fontId="14" fillId="0" borderId="15" xfId="3" applyFont="1" applyBorder="1" applyAlignment="1">
      <alignment horizontal="center"/>
    </xf>
    <xf numFmtId="4" fontId="18" fillId="0" borderId="0" xfId="13" applyNumberFormat="1"/>
    <xf numFmtId="0" fontId="45" fillId="0" borderId="0" xfId="13" applyFont="1" applyAlignment="1">
      <alignment horizontal="left"/>
    </xf>
    <xf numFmtId="4" fontId="71" fillId="0" borderId="0" xfId="13" applyNumberFormat="1" applyFont="1"/>
    <xf numFmtId="0" fontId="72" fillId="0" borderId="0" xfId="13" applyFont="1" applyAlignment="1">
      <alignment horizontal="right"/>
    </xf>
    <xf numFmtId="0" fontId="46" fillId="0" borderId="0" xfId="13" applyFont="1"/>
    <xf numFmtId="0" fontId="58" fillId="0" borderId="0" xfId="13" quotePrefix="1" applyFont="1"/>
    <xf numFmtId="10" fontId="58" fillId="0" borderId="2" xfId="13" applyNumberFormat="1" applyFont="1" applyBorder="1"/>
    <xf numFmtId="0" fontId="60" fillId="0" borderId="2" xfId="13" applyFont="1" applyBorder="1" applyAlignment="1">
      <alignment horizontal="right"/>
    </xf>
    <xf numFmtId="0" fontId="12" fillId="0" borderId="2" xfId="13" applyFont="1" applyBorder="1"/>
    <xf numFmtId="169" fontId="73" fillId="0" borderId="2" xfId="13" applyNumberFormat="1" applyFont="1" applyBorder="1"/>
    <xf numFmtId="0" fontId="58" fillId="0" borderId="0" xfId="13" applyFont="1"/>
    <xf numFmtId="0" fontId="58" fillId="0" borderId="0" xfId="13" applyFont="1" applyAlignment="1">
      <alignment horizontal="right"/>
    </xf>
    <xf numFmtId="169" fontId="60" fillId="0" borderId="0" xfId="13" applyNumberFormat="1" applyFont="1"/>
    <xf numFmtId="0" fontId="60" fillId="0" borderId="0" xfId="13" applyFont="1" applyAlignment="1">
      <alignment horizontal="right"/>
    </xf>
    <xf numFmtId="0" fontId="60" fillId="0" borderId="0" xfId="13" applyFont="1"/>
    <xf numFmtId="0" fontId="74" fillId="0" borderId="2" xfId="13" applyFont="1" applyBorder="1" applyAlignment="1">
      <alignment horizontal="right"/>
    </xf>
    <xf numFmtId="0" fontId="42" fillId="0" borderId="2" xfId="13" applyFont="1" applyBorder="1" applyAlignment="1">
      <alignment horizontal="left"/>
    </xf>
    <xf numFmtId="169" fontId="58" fillId="0" borderId="0" xfId="13" quotePrefix="1" applyNumberFormat="1" applyFont="1" applyAlignment="1">
      <alignment horizontal="right"/>
    </xf>
    <xf numFmtId="0" fontId="72" fillId="2" borderId="0" xfId="13" applyFont="1" applyFill="1" applyAlignment="1">
      <alignment horizontal="right"/>
    </xf>
    <xf numFmtId="0" fontId="75" fillId="2" borderId="0" xfId="13" applyFont="1" applyFill="1"/>
    <xf numFmtId="169" fontId="76" fillId="0" borderId="2" xfId="13" applyNumberFormat="1" applyFont="1" applyBorder="1" applyAlignment="1">
      <alignment horizontal="right"/>
    </xf>
    <xf numFmtId="0" fontId="77" fillId="0" borderId="2" xfId="13" applyFont="1" applyBorder="1"/>
    <xf numFmtId="0" fontId="16" fillId="0" borderId="0" xfId="13" applyFont="1"/>
    <xf numFmtId="0" fontId="11" fillId="0" borderId="0" xfId="13" applyFont="1"/>
    <xf numFmtId="6" fontId="18" fillId="0" borderId="19" xfId="17" applyNumberFormat="1" applyFont="1" applyBorder="1" applyAlignment="1">
      <alignment horizontal="center" vertical="center"/>
    </xf>
    <xf numFmtId="38" fontId="18" fillId="0" borderId="19" xfId="17" applyNumberFormat="1" applyFont="1" applyBorder="1" applyAlignment="1">
      <alignment horizontal="center" vertical="center"/>
    </xf>
    <xf numFmtId="0" fontId="18" fillId="0" borderId="0" xfId="0" applyFont="1"/>
    <xf numFmtId="38" fontId="18" fillId="0" borderId="19" xfId="17" applyNumberFormat="1" applyFont="1" applyBorder="1" applyAlignment="1">
      <alignment horizontal="center"/>
    </xf>
    <xf numFmtId="38" fontId="18" fillId="0" borderId="32" xfId="17" applyNumberFormat="1" applyFont="1" applyBorder="1" applyAlignment="1">
      <alignment horizontal="center"/>
    </xf>
    <xf numFmtId="38" fontId="18" fillId="0" borderId="51" xfId="17" applyNumberFormat="1" applyFont="1" applyBorder="1" applyAlignment="1">
      <alignment horizontal="center" vertical="center"/>
    </xf>
    <xf numFmtId="37" fontId="35" fillId="0" borderId="0" xfId="17" applyNumberFormat="1" applyFont="1" applyAlignment="1">
      <alignment horizontal="center"/>
    </xf>
    <xf numFmtId="37" fontId="35" fillId="0" borderId="5" xfId="17" applyNumberFormat="1" applyFont="1" applyBorder="1" applyAlignment="1">
      <alignment horizontal="center"/>
    </xf>
    <xf numFmtId="5" fontId="35" fillId="0" borderId="5" xfId="17" applyNumberFormat="1" applyFont="1" applyBorder="1" applyAlignment="1">
      <alignment horizontal="center"/>
    </xf>
    <xf numFmtId="7" fontId="18" fillId="0" borderId="0" xfId="17" applyNumberFormat="1" applyFont="1" applyAlignment="1">
      <alignment horizontal="center" vertical="center"/>
    </xf>
    <xf numFmtId="38" fontId="18" fillId="0" borderId="32" xfId="17" applyNumberFormat="1" applyFont="1" applyBorder="1" applyAlignment="1">
      <alignment horizontal="center" vertical="center"/>
    </xf>
    <xf numFmtId="7" fontId="35" fillId="0" borderId="0" xfId="17" applyNumberFormat="1" applyFont="1" applyAlignment="1">
      <alignment horizontal="center" vertical="center"/>
    </xf>
    <xf numFmtId="6" fontId="46" fillId="0" borderId="35" xfId="5" applyNumberFormat="1" applyFont="1" applyFill="1" applyBorder="1" applyAlignment="1">
      <alignment horizontal="center" vertical="center"/>
    </xf>
    <xf numFmtId="6" fontId="35" fillId="0" borderId="0" xfId="17" applyNumberFormat="1" applyFont="1"/>
    <xf numFmtId="6" fontId="46" fillId="0" borderId="19" xfId="5" applyNumberFormat="1" applyFont="1" applyFill="1" applyBorder="1" applyAlignment="1">
      <alignment horizontal="center" vertical="center"/>
    </xf>
    <xf numFmtId="6" fontId="46" fillId="0" borderId="36" xfId="5" applyNumberFormat="1" applyFont="1" applyFill="1" applyBorder="1" applyAlignment="1">
      <alignment horizontal="center" vertical="center"/>
    </xf>
    <xf numFmtId="6" fontId="46" fillId="0" borderId="35" xfId="17" applyNumberFormat="1" applyFont="1" applyBorder="1" applyAlignment="1">
      <alignment horizontal="center" vertical="center"/>
    </xf>
    <xf numFmtId="5" fontId="46" fillId="0" borderId="19" xfId="17" applyNumberFormat="1" applyFont="1" applyBorder="1" applyAlignment="1">
      <alignment horizontal="center" vertical="center"/>
    </xf>
    <xf numFmtId="5" fontId="46" fillId="0" borderId="32" xfId="17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0" fontId="18" fillId="0" borderId="0" xfId="17" applyNumberFormat="1" applyFont="1" applyAlignment="1">
      <alignment horizontal="center"/>
    </xf>
    <xf numFmtId="1" fontId="58" fillId="0" borderId="0" xfId="0" applyNumberFormat="1" applyFont="1" applyAlignment="1">
      <alignment horizontal="center"/>
    </xf>
    <xf numFmtId="1" fontId="58" fillId="2" borderId="0" xfId="0" applyNumberFormat="1" applyFont="1" applyFill="1" applyAlignment="1">
      <alignment horizontal="center"/>
    </xf>
    <xf numFmtId="169" fontId="58" fillId="2" borderId="0" xfId="0" applyNumberFormat="1" applyFont="1" applyFill="1" applyAlignment="1">
      <alignment horizontal="center"/>
    </xf>
    <xf numFmtId="169" fontId="58" fillId="0" borderId="0" xfId="0" applyNumberFormat="1" applyFont="1" applyAlignment="1">
      <alignment horizontal="center"/>
    </xf>
    <xf numFmtId="0" fontId="66" fillId="0" borderId="0" xfId="0" applyFont="1"/>
    <xf numFmtId="0" fontId="66" fillId="0" borderId="1" xfId="0" applyFont="1" applyBorder="1"/>
    <xf numFmtId="9" fontId="58" fillId="0" borderId="0" xfId="0" applyNumberFormat="1" applyFont="1" applyAlignment="1">
      <alignment horizontal="center"/>
    </xf>
    <xf numFmtId="9" fontId="58" fillId="0" borderId="1" xfId="1" applyFont="1" applyFill="1" applyBorder="1" applyAlignment="1">
      <alignment horizontal="center"/>
    </xf>
    <xf numFmtId="9" fontId="58" fillId="0" borderId="1" xfId="0" applyNumberFormat="1" applyFont="1" applyBorder="1" applyAlignment="1">
      <alignment horizontal="center"/>
    </xf>
    <xf numFmtId="168" fontId="58" fillId="0" borderId="0" xfId="0" applyNumberFormat="1" applyFont="1" applyAlignment="1">
      <alignment horizontal="center"/>
    </xf>
    <xf numFmtId="164" fontId="58" fillId="0" borderId="0" xfId="0" applyNumberFormat="1" applyFont="1" applyAlignment="1">
      <alignment horizontal="center"/>
    </xf>
    <xf numFmtId="169" fontId="67" fillId="0" borderId="46" xfId="0" applyNumberFormat="1" applyFont="1" applyBorder="1" applyAlignment="1">
      <alignment horizontal="center"/>
    </xf>
    <xf numFmtId="169" fontId="67" fillId="2" borderId="46" xfId="0" applyNumberFormat="1" applyFont="1" applyFill="1" applyBorder="1" applyAlignment="1">
      <alignment horizontal="center"/>
    </xf>
    <xf numFmtId="169" fontId="68" fillId="0" borderId="46" xfId="0" applyNumberFormat="1" applyFont="1" applyBorder="1" applyAlignment="1">
      <alignment horizontal="center"/>
    </xf>
    <xf numFmtId="164" fontId="58" fillId="0" borderId="1" xfId="0" applyNumberFormat="1" applyFont="1" applyBorder="1" applyAlignment="1">
      <alignment horizontal="center"/>
    </xf>
    <xf numFmtId="9" fontId="67" fillId="2" borderId="46" xfId="0" applyNumberFormat="1" applyFont="1" applyFill="1" applyBorder="1" applyAlignment="1">
      <alignment horizontal="center" vertical="center"/>
    </xf>
    <xf numFmtId="9" fontId="68" fillId="0" borderId="46" xfId="0" applyNumberFormat="1" applyFont="1" applyBorder="1" applyAlignment="1">
      <alignment horizontal="center" vertical="center"/>
    </xf>
    <xf numFmtId="9" fontId="67" fillId="0" borderId="46" xfId="0" applyNumberFormat="1" applyFont="1" applyBorder="1" applyAlignment="1">
      <alignment horizontal="center" vertical="center"/>
    </xf>
    <xf numFmtId="164" fontId="69" fillId="8" borderId="52" xfId="0" applyNumberFormat="1" applyFont="1" applyFill="1" applyBorder="1" applyAlignment="1">
      <alignment horizontal="center" vertical="center"/>
    </xf>
    <xf numFmtId="1" fontId="42" fillId="0" borderId="4" xfId="17" applyNumberFormat="1" applyFont="1" applyBorder="1" applyAlignment="1">
      <alignment horizontal="center" vertical="center" wrapText="1"/>
    </xf>
    <xf numFmtId="169" fontId="18" fillId="0" borderId="0" xfId="0" applyNumberFormat="1" applyFont="1" applyAlignment="1">
      <alignment horizontal="center"/>
    </xf>
    <xf numFmtId="10" fontId="18" fillId="0" borderId="0" xfId="0" applyNumberFormat="1" applyFont="1"/>
    <xf numFmtId="169" fontId="18" fillId="0" borderId="33" xfId="0" applyNumberFormat="1" applyFont="1" applyBorder="1" applyAlignment="1">
      <alignment horizontal="center"/>
    </xf>
    <xf numFmtId="10" fontId="18" fillId="0" borderId="38" xfId="0" applyNumberFormat="1" applyFont="1" applyBorder="1" applyAlignment="1">
      <alignment horizontal="center"/>
    </xf>
    <xf numFmtId="169" fontId="18" fillId="0" borderId="5" xfId="0" applyNumberFormat="1" applyFont="1" applyBorder="1" applyAlignment="1">
      <alignment horizontal="center"/>
    </xf>
    <xf numFmtId="10" fontId="18" fillId="0" borderId="21" xfId="0" applyNumberFormat="1" applyFont="1" applyBorder="1" applyAlignment="1">
      <alignment horizontal="center"/>
    </xf>
    <xf numFmtId="169" fontId="18" fillId="0" borderId="5" xfId="17" applyNumberFormat="1" applyFont="1" applyBorder="1" applyAlignment="1">
      <alignment horizontal="center"/>
    </xf>
    <xf numFmtId="10" fontId="18" fillId="0" borderId="21" xfId="17" applyNumberFormat="1" applyFont="1" applyBorder="1" applyAlignment="1">
      <alignment horizontal="center"/>
    </xf>
    <xf numFmtId="169" fontId="18" fillId="0" borderId="26" xfId="0" applyNumberFormat="1" applyFont="1" applyBorder="1" applyAlignment="1">
      <alignment horizontal="center"/>
    </xf>
    <xf numFmtId="10" fontId="18" fillId="0" borderId="61" xfId="17" applyNumberFormat="1" applyFont="1" applyBorder="1" applyAlignment="1">
      <alignment horizontal="center"/>
    </xf>
    <xf numFmtId="0" fontId="1" fillId="0" borderId="0" xfId="0" applyFont="1"/>
    <xf numFmtId="0" fontId="18" fillId="0" borderId="2" xfId="13" applyBorder="1"/>
    <xf numFmtId="1" fontId="18" fillId="0" borderId="0" xfId="13" quotePrefix="1" applyNumberFormat="1" applyAlignment="1">
      <alignment horizontal="right"/>
    </xf>
    <xf numFmtId="169" fontId="1" fillId="0" borderId="18" xfId="0" applyNumberFormat="1" applyFont="1" applyBorder="1"/>
    <xf numFmtId="14" fontId="18" fillId="0" borderId="0" xfId="13" applyNumberFormat="1"/>
    <xf numFmtId="3" fontId="9" fillId="0" borderId="0" xfId="13" applyNumberFormat="1" applyFont="1" applyAlignment="1">
      <alignment horizontal="center" vertical="center"/>
    </xf>
    <xf numFmtId="14" fontId="9" fillId="0" borderId="2" xfId="13" quotePrefix="1" applyNumberFormat="1" applyFont="1" applyBorder="1" applyAlignment="1">
      <alignment horizontal="center" vertical="center"/>
    </xf>
    <xf numFmtId="14" fontId="9" fillId="0" borderId="2" xfId="13" applyNumberFormat="1" applyFont="1" applyBorder="1" applyAlignment="1">
      <alignment horizontal="center" vertical="center"/>
    </xf>
    <xf numFmtId="3" fontId="19" fillId="0" borderId="0" xfId="13" applyNumberFormat="1" applyFont="1" applyAlignment="1">
      <alignment horizontal="center" vertical="center"/>
    </xf>
    <xf numFmtId="169" fontId="9" fillId="0" borderId="17" xfId="13" applyNumberFormat="1" applyFont="1" applyBorder="1" applyAlignment="1">
      <alignment horizontal="center" vertical="center"/>
    </xf>
    <xf numFmtId="3" fontId="9" fillId="2" borderId="0" xfId="13" applyNumberFormat="1" applyFont="1" applyFill="1" applyAlignment="1">
      <alignment horizontal="center" vertical="center"/>
    </xf>
    <xf numFmtId="3" fontId="9" fillId="0" borderId="53" xfId="13" applyNumberFormat="1" applyFont="1" applyBorder="1" applyAlignment="1">
      <alignment horizontal="center" vertical="center"/>
    </xf>
    <xf numFmtId="3" fontId="9" fillId="0" borderId="54" xfId="13" applyNumberFormat="1" applyFont="1" applyBorder="1" applyAlignment="1">
      <alignment horizontal="center" vertical="center"/>
    </xf>
    <xf numFmtId="38" fontId="9" fillId="0" borderId="0" xfId="13" applyNumberFormat="1" applyFont="1" applyAlignment="1">
      <alignment horizontal="center"/>
    </xf>
    <xf numFmtId="3" fontId="9" fillId="0" borderId="17" xfId="13" applyNumberFormat="1" applyFont="1" applyBorder="1" applyAlignment="1">
      <alignment horizontal="center" vertical="center"/>
    </xf>
    <xf numFmtId="3" fontId="9" fillId="0" borderId="1" xfId="13" applyNumberFormat="1" applyFont="1" applyBorder="1" applyAlignment="1">
      <alignment horizontal="center" vertical="center"/>
    </xf>
    <xf numFmtId="3" fontId="9" fillId="0" borderId="62" xfId="13" applyNumberFormat="1" applyFont="1" applyBorder="1" applyAlignment="1">
      <alignment horizontal="center" vertical="center"/>
    </xf>
    <xf numFmtId="0" fontId="9" fillId="0" borderId="0" xfId="13" applyFont="1" applyAlignment="1">
      <alignment horizontal="center"/>
    </xf>
    <xf numFmtId="0" fontId="1" fillId="0" borderId="0" xfId="0" applyFont="1" applyAlignment="1">
      <alignment horizontal="center"/>
    </xf>
    <xf numFmtId="14" fontId="9" fillId="0" borderId="0" xfId="13" applyNumberFormat="1" applyFont="1" applyAlignment="1">
      <alignment horizontal="center" vertical="center"/>
    </xf>
    <xf numFmtId="169" fontId="9" fillId="0" borderId="0" xfId="13" applyNumberFormat="1" applyFont="1" applyAlignment="1">
      <alignment horizontal="center" vertical="center"/>
    </xf>
    <xf numFmtId="168" fontId="9" fillId="0" borderId="17" xfId="13" applyNumberFormat="1" applyFont="1" applyBorder="1" applyAlignment="1">
      <alignment horizontal="center" vertical="center"/>
    </xf>
    <xf numFmtId="168" fontId="9" fillId="0" borderId="0" xfId="13" applyNumberFormat="1" applyFont="1" applyAlignment="1">
      <alignment horizontal="center" vertical="center"/>
    </xf>
    <xf numFmtId="3" fontId="9" fillId="0" borderId="0" xfId="13" quotePrefix="1" applyNumberFormat="1" applyFont="1" applyAlignment="1">
      <alignment horizontal="center" vertical="center"/>
    </xf>
    <xf numFmtId="3" fontId="9" fillId="0" borderId="0" xfId="13" applyNumberFormat="1" applyFont="1" applyAlignment="1">
      <alignment horizontal="left" vertical="center"/>
    </xf>
    <xf numFmtId="3" fontId="9" fillId="0" borderId="0" xfId="13" applyNumberFormat="1" applyFont="1" applyAlignment="1">
      <alignment vertical="center"/>
    </xf>
    <xf numFmtId="3" fontId="9" fillId="0" borderId="0" xfId="13" applyNumberFormat="1" applyFont="1" applyAlignment="1">
      <alignment horizontal="left" vertical="center" indent="16"/>
    </xf>
    <xf numFmtId="3" fontId="9" fillId="0" borderId="40" xfId="13" applyNumberFormat="1" applyFont="1" applyBorder="1" applyAlignment="1">
      <alignment horizontal="center" vertical="center"/>
    </xf>
    <xf numFmtId="38" fontId="9" fillId="0" borderId="63" xfId="13" applyNumberFormat="1" applyFont="1" applyBorder="1" applyAlignment="1">
      <alignment horizontal="center"/>
    </xf>
    <xf numFmtId="5" fontId="9" fillId="0" borderId="55" xfId="13" applyNumberFormat="1" applyFont="1" applyBorder="1" applyAlignment="1">
      <alignment horizontal="center" vertical="center"/>
    </xf>
    <xf numFmtId="0" fontId="1" fillId="9" borderId="0" xfId="0" applyFont="1" applyFill="1"/>
    <xf numFmtId="14" fontId="9" fillId="9" borderId="2" xfId="13" applyNumberFormat="1" applyFont="1" applyFill="1" applyBorder="1" applyAlignment="1">
      <alignment horizontal="center" vertical="center"/>
    </xf>
    <xf numFmtId="14" fontId="9" fillId="9" borderId="2" xfId="13" quotePrefix="1" applyNumberFormat="1" applyFont="1" applyFill="1" applyBorder="1" applyAlignment="1">
      <alignment horizontal="center" vertical="center"/>
    </xf>
    <xf numFmtId="169" fontId="9" fillId="9" borderId="45" xfId="13" applyNumberFormat="1" applyFont="1" applyFill="1" applyBorder="1" applyAlignment="1">
      <alignment horizontal="center" vertical="center"/>
    </xf>
    <xf numFmtId="169" fontId="9" fillId="9" borderId="55" xfId="13" applyNumberFormat="1" applyFont="1" applyFill="1" applyBorder="1" applyAlignment="1">
      <alignment horizontal="center" vertical="center"/>
    </xf>
    <xf numFmtId="37" fontId="9" fillId="9" borderId="18" xfId="13" applyNumberFormat="1" applyFont="1" applyFill="1" applyBorder="1" applyAlignment="1">
      <alignment horizontal="center" vertical="center"/>
    </xf>
    <xf numFmtId="37" fontId="9" fillId="9" borderId="1" xfId="13" applyNumberFormat="1" applyFont="1" applyFill="1" applyBorder="1" applyAlignment="1">
      <alignment horizontal="center" vertical="center"/>
    </xf>
    <xf numFmtId="37" fontId="9" fillId="9" borderId="59" xfId="13" applyNumberFormat="1" applyFont="1" applyFill="1" applyBorder="1" applyAlignment="1">
      <alignment horizontal="center" vertical="center"/>
    </xf>
    <xf numFmtId="37" fontId="9" fillId="9" borderId="57" xfId="13" applyNumberFormat="1" applyFont="1" applyFill="1" applyBorder="1" applyAlignment="1">
      <alignment horizontal="center" vertical="center"/>
    </xf>
    <xf numFmtId="4" fontId="9" fillId="0" borderId="39" xfId="13" applyNumberFormat="1" applyFont="1" applyBorder="1" applyAlignment="1">
      <alignment horizontal="center" vertical="center"/>
    </xf>
    <xf numFmtId="4" fontId="9" fillId="0" borderId="14" xfId="13" applyNumberFormat="1" applyFont="1" applyBorder="1" applyAlignment="1">
      <alignment horizontal="center" vertical="center"/>
    </xf>
    <xf numFmtId="4" fontId="9" fillId="0" borderId="15" xfId="13" applyNumberFormat="1" applyFont="1" applyBorder="1" applyAlignment="1">
      <alignment horizontal="center" vertical="center"/>
    </xf>
    <xf numFmtId="6" fontId="1" fillId="0" borderId="18" xfId="0" applyNumberFormat="1" applyFont="1" applyBorder="1"/>
    <xf numFmtId="38" fontId="1" fillId="0" borderId="18" xfId="0" applyNumberFormat="1" applyFont="1" applyBorder="1"/>
    <xf numFmtId="6" fontId="80" fillId="0" borderId="58" xfId="13" quotePrefix="1" applyNumberFormat="1" applyFont="1" applyBorder="1" applyAlignment="1">
      <alignment horizontal="right"/>
    </xf>
    <xf numFmtId="0" fontId="79" fillId="8" borderId="45" xfId="13" applyFont="1" applyFill="1" applyBorder="1" applyAlignment="1">
      <alignment horizontal="center" vertical="center" wrapText="1"/>
    </xf>
    <xf numFmtId="0" fontId="79" fillId="8" borderId="59" xfId="13" applyFont="1" applyFill="1" applyBorder="1" applyAlignment="1">
      <alignment horizontal="center" vertical="center" wrapText="1"/>
    </xf>
    <xf numFmtId="0" fontId="79" fillId="8" borderId="55" xfId="13" applyFont="1" applyFill="1" applyBorder="1" applyAlignment="1">
      <alignment horizontal="center" vertical="center" wrapText="1"/>
    </xf>
    <xf numFmtId="0" fontId="79" fillId="8" borderId="57" xfId="13" applyFont="1" applyFill="1" applyBorder="1" applyAlignment="1">
      <alignment horizontal="center" vertical="center" wrapText="1"/>
    </xf>
    <xf numFmtId="0" fontId="79" fillId="8" borderId="53" xfId="13" applyFont="1" applyFill="1" applyBorder="1" applyAlignment="1">
      <alignment horizontal="center" vertical="center" wrapText="1"/>
    </xf>
    <xf numFmtId="0" fontId="79" fillId="8" borderId="56" xfId="13" applyFont="1" applyFill="1" applyBorder="1" applyAlignment="1">
      <alignment horizontal="center" vertical="center" wrapText="1"/>
    </xf>
    <xf numFmtId="171" fontId="58" fillId="0" borderId="0" xfId="17" applyNumberFormat="1" applyFont="1" applyAlignment="1">
      <alignment horizontal="left" vertical="center"/>
    </xf>
    <xf numFmtId="164" fontId="46" fillId="7" borderId="41" xfId="5" applyNumberFormat="1" applyFont="1" applyFill="1" applyBorder="1" applyAlignment="1">
      <alignment horizontal="center" vertical="center"/>
    </xf>
    <xf numFmtId="164" fontId="46" fillId="7" borderId="0" xfId="5" applyNumberFormat="1" applyFont="1" applyFill="1" applyBorder="1" applyAlignment="1">
      <alignment horizontal="center" vertical="center"/>
    </xf>
    <xf numFmtId="164" fontId="46" fillId="7" borderId="30" xfId="5" applyNumberFormat="1" applyFont="1" applyFill="1" applyBorder="1" applyAlignment="1">
      <alignment horizontal="center" vertical="center"/>
    </xf>
    <xf numFmtId="0" fontId="83" fillId="7" borderId="64" xfId="0" applyFont="1" applyFill="1" applyBorder="1"/>
    <xf numFmtId="0" fontId="4" fillId="7" borderId="7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172" fontId="4" fillId="0" borderId="65" xfId="0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7" borderId="58" xfId="0" applyFont="1" applyFill="1" applyBorder="1" applyAlignment="1">
      <alignment horizontal="center"/>
    </xf>
    <xf numFmtId="168" fontId="4" fillId="0" borderId="66" xfId="0" applyNumberFormat="1" applyFont="1" applyBorder="1" applyAlignment="1">
      <alignment horizontal="center"/>
    </xf>
    <xf numFmtId="0" fontId="0" fillId="0" borderId="65" xfId="0" applyBorder="1" applyAlignment="1">
      <alignment horizontal="center"/>
    </xf>
    <xf numFmtId="17" fontId="0" fillId="0" borderId="65" xfId="0" applyNumberFormat="1" applyBorder="1" applyAlignment="1">
      <alignment horizontal="center"/>
    </xf>
    <xf numFmtId="0" fontId="0" fillId="0" borderId="67" xfId="0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7" borderId="68" xfId="0" applyFont="1" applyFill="1" applyBorder="1" applyAlignment="1">
      <alignment horizontal="center"/>
    </xf>
    <xf numFmtId="168" fontId="4" fillId="0" borderId="69" xfId="0" applyNumberFormat="1" applyFont="1" applyBorder="1" applyAlignment="1">
      <alignment horizontal="center"/>
    </xf>
    <xf numFmtId="0" fontId="62" fillId="10" borderId="6" xfId="0" applyFont="1" applyFill="1" applyBorder="1" applyAlignment="1">
      <alignment horizontal="center"/>
    </xf>
    <xf numFmtId="168" fontId="62" fillId="10" borderId="33" xfId="0" applyNumberFormat="1" applyFont="1" applyFill="1" applyBorder="1" applyAlignment="1">
      <alignment horizontal="center"/>
    </xf>
    <xf numFmtId="168" fontId="62" fillId="10" borderId="41" xfId="0" applyNumberFormat="1" applyFont="1" applyFill="1" applyBorder="1" applyAlignment="1">
      <alignment horizontal="center"/>
    </xf>
    <xf numFmtId="168" fontId="62" fillId="10" borderId="38" xfId="0" applyNumberFormat="1" applyFont="1" applyFill="1" applyBorder="1" applyAlignment="1">
      <alignment horizontal="center"/>
    </xf>
    <xf numFmtId="0" fontId="4" fillId="0" borderId="42" xfId="0" applyFont="1" applyBorder="1" applyAlignment="1">
      <alignment horizontal="center"/>
    </xf>
    <xf numFmtId="168" fontId="86" fillId="0" borderId="70" xfId="0" applyNumberFormat="1" applyFont="1" applyBorder="1" applyAlignment="1">
      <alignment horizontal="center"/>
    </xf>
    <xf numFmtId="168" fontId="86" fillId="0" borderId="54" xfId="0" applyNumberFormat="1" applyFont="1" applyBorder="1" applyAlignment="1">
      <alignment horizontal="center"/>
    </xf>
    <xf numFmtId="168" fontId="86" fillId="0" borderId="71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168" fontId="86" fillId="0" borderId="72" xfId="0" applyNumberFormat="1" applyFont="1" applyBorder="1" applyAlignment="1">
      <alignment horizontal="center"/>
    </xf>
    <xf numFmtId="168" fontId="86" fillId="0" borderId="73" xfId="0" applyNumberFormat="1" applyFont="1" applyBorder="1" applyAlignment="1">
      <alignment horizontal="center"/>
    </xf>
    <xf numFmtId="168" fontId="86" fillId="0" borderId="74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62" fillId="10" borderId="33" xfId="0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62" fillId="10" borderId="56" xfId="0" applyFont="1" applyFill="1" applyBorder="1" applyAlignment="1">
      <alignment horizontal="center"/>
    </xf>
    <xf numFmtId="168" fontId="62" fillId="10" borderId="39" xfId="0" applyNumberFormat="1" applyFont="1" applyFill="1" applyBorder="1" applyAlignment="1">
      <alignment horizontal="center"/>
    </xf>
    <xf numFmtId="168" fontId="62" fillId="10" borderId="14" xfId="0" applyNumberFormat="1" applyFont="1" applyFill="1" applyBorder="1" applyAlignment="1">
      <alignment horizontal="center"/>
    </xf>
    <xf numFmtId="168" fontId="62" fillId="10" borderId="15" xfId="0" applyNumberFormat="1" applyFont="1" applyFill="1" applyBorder="1" applyAlignment="1">
      <alignment horizontal="center"/>
    </xf>
    <xf numFmtId="0" fontId="37" fillId="0" borderId="0" xfId="17" applyFont="1" applyAlignment="1">
      <alignment horizontal="center"/>
    </xf>
    <xf numFmtId="5" fontId="84" fillId="0" borderId="0" xfId="17" applyNumberFormat="1" applyFont="1"/>
    <xf numFmtId="1" fontId="85" fillId="0" borderId="30" xfId="17" applyNumberFormat="1" applyFont="1" applyBorder="1"/>
    <xf numFmtId="0" fontId="0" fillId="0" borderId="75" xfId="0" applyBorder="1" applyAlignment="1">
      <alignment horizontal="center"/>
    </xf>
    <xf numFmtId="0" fontId="86" fillId="0" borderId="6" xfId="0" applyFont="1" applyBorder="1" applyAlignment="1">
      <alignment horizontal="center"/>
    </xf>
    <xf numFmtId="168" fontId="86" fillId="0" borderId="7" xfId="0" applyNumberFormat="1" applyFont="1" applyBorder="1" applyAlignment="1">
      <alignment horizontal="center"/>
    </xf>
    <xf numFmtId="168" fontId="86" fillId="0" borderId="10" xfId="0" applyNumberFormat="1" applyFont="1" applyBorder="1" applyAlignment="1">
      <alignment horizontal="center"/>
    </xf>
    <xf numFmtId="0" fontId="86" fillId="0" borderId="76" xfId="0" applyFont="1" applyBorder="1" applyAlignment="1">
      <alignment horizontal="center"/>
    </xf>
    <xf numFmtId="168" fontId="86" fillId="0" borderId="58" xfId="0" applyNumberFormat="1" applyFont="1" applyBorder="1" applyAlignment="1">
      <alignment horizontal="center"/>
    </xf>
    <xf numFmtId="168" fontId="86" fillId="0" borderId="66" xfId="0" applyNumberFormat="1" applyFont="1" applyBorder="1" applyAlignment="1">
      <alignment horizontal="center"/>
    </xf>
    <xf numFmtId="0" fontId="86" fillId="0" borderId="26" xfId="0" applyFont="1" applyBorder="1" applyAlignment="1">
      <alignment horizontal="center"/>
    </xf>
    <xf numFmtId="168" fontId="86" fillId="0" borderId="68" xfId="0" applyNumberFormat="1" applyFont="1" applyBorder="1" applyAlignment="1">
      <alignment horizontal="center"/>
    </xf>
    <xf numFmtId="168" fontId="86" fillId="0" borderId="69" xfId="0" applyNumberFormat="1" applyFont="1" applyBorder="1" applyAlignment="1">
      <alignment horizontal="center"/>
    </xf>
    <xf numFmtId="0" fontId="62" fillId="0" borderId="6" xfId="0" applyFont="1" applyBorder="1" applyAlignment="1">
      <alignment horizontal="center"/>
    </xf>
    <xf numFmtId="168" fontId="87" fillId="0" borderId="64" xfId="0" applyNumberFormat="1" applyFont="1" applyBorder="1" applyAlignment="1">
      <alignment horizontal="center" vertical="center"/>
    </xf>
    <xf numFmtId="168" fontId="87" fillId="0" borderId="7" xfId="0" applyNumberFormat="1" applyFont="1" applyBorder="1" applyAlignment="1">
      <alignment horizontal="center" vertical="center"/>
    </xf>
    <xf numFmtId="168" fontId="87" fillId="0" borderId="10" xfId="0" applyNumberFormat="1" applyFont="1" applyBorder="1" applyAlignment="1">
      <alignment horizontal="center" vertical="center"/>
    </xf>
    <xf numFmtId="0" fontId="4" fillId="0" borderId="76" xfId="0" applyFont="1" applyBorder="1" applyAlignment="1">
      <alignment horizontal="center"/>
    </xf>
    <xf numFmtId="168" fontId="87" fillId="0" borderId="65" xfId="0" applyNumberFormat="1" applyFont="1" applyBorder="1" applyAlignment="1">
      <alignment horizontal="center" vertical="center"/>
    </xf>
    <xf numFmtId="168" fontId="87" fillId="0" borderId="58" xfId="0" applyNumberFormat="1" applyFont="1" applyBorder="1" applyAlignment="1">
      <alignment horizontal="center" vertical="center"/>
    </xf>
    <xf numFmtId="168" fontId="87" fillId="0" borderId="66" xfId="0" applyNumberFormat="1" applyFont="1" applyBorder="1" applyAlignment="1">
      <alignment horizontal="center" vertical="center"/>
    </xf>
    <xf numFmtId="8" fontId="87" fillId="0" borderId="67" xfId="0" applyNumberFormat="1" applyFont="1" applyBorder="1" applyAlignment="1">
      <alignment horizontal="center" vertical="center"/>
    </xf>
    <xf numFmtId="8" fontId="87" fillId="0" borderId="68" xfId="0" applyNumberFormat="1" applyFont="1" applyBorder="1" applyAlignment="1">
      <alignment horizontal="center" vertical="center"/>
    </xf>
    <xf numFmtId="8" fontId="87" fillId="0" borderId="69" xfId="0" applyNumberFormat="1" applyFont="1" applyBorder="1" applyAlignment="1">
      <alignment horizontal="center" vertical="center"/>
    </xf>
    <xf numFmtId="0" fontId="86" fillId="0" borderId="39" xfId="0" applyFont="1" applyBorder="1" applyAlignment="1">
      <alignment horizontal="center"/>
    </xf>
    <xf numFmtId="168" fontId="86" fillId="0" borderId="39" xfId="0" applyNumberFormat="1" applyFont="1" applyBorder="1" applyAlignment="1">
      <alignment horizontal="center"/>
    </xf>
    <xf numFmtId="168" fontId="86" fillId="0" borderId="14" xfId="0" applyNumberFormat="1" applyFont="1" applyBorder="1" applyAlignment="1">
      <alignment horizontal="center"/>
    </xf>
    <xf numFmtId="168" fontId="86" fillId="0" borderId="15" xfId="0" applyNumberFormat="1" applyFont="1" applyBorder="1" applyAlignment="1">
      <alignment horizontal="center"/>
    </xf>
    <xf numFmtId="0" fontId="33" fillId="7" borderId="40" xfId="26" applyFont="1" applyFill="1" applyBorder="1" applyAlignment="1">
      <alignment vertical="center"/>
    </xf>
    <xf numFmtId="0" fontId="1" fillId="7" borderId="77" xfId="26" applyFont="1" applyFill="1" applyBorder="1" applyAlignment="1">
      <alignment horizontal="center" vertical="center"/>
    </xf>
    <xf numFmtId="0" fontId="1" fillId="7" borderId="12" xfId="26" applyFont="1" applyFill="1" applyBorder="1" applyAlignment="1">
      <alignment horizontal="center" vertical="center"/>
    </xf>
    <xf numFmtId="0" fontId="1" fillId="7" borderId="13" xfId="26" applyFont="1" applyFill="1" applyBorder="1" applyAlignment="1">
      <alignment horizontal="center" vertical="center"/>
    </xf>
    <xf numFmtId="0" fontId="1" fillId="7" borderId="40" xfId="26" applyFont="1" applyFill="1" applyBorder="1" applyAlignment="1">
      <alignment horizontal="center" vertical="center"/>
    </xf>
    <xf numFmtId="0" fontId="1" fillId="7" borderId="15" xfId="26" applyFont="1" applyFill="1" applyBorder="1" applyAlignment="1">
      <alignment horizontal="center" vertical="center"/>
    </xf>
    <xf numFmtId="172" fontId="1" fillId="0" borderId="78" xfId="26" applyNumberFormat="1" applyFont="1" applyBorder="1" applyAlignment="1">
      <alignment horizontal="center" vertical="center"/>
    </xf>
    <xf numFmtId="0" fontId="1" fillId="0" borderId="33" xfId="26" applyFont="1" applyBorder="1" applyAlignment="1">
      <alignment horizontal="center" vertical="center"/>
    </xf>
    <xf numFmtId="0" fontId="1" fillId="0" borderId="41" xfId="26" applyFont="1" applyBorder="1" applyAlignment="1">
      <alignment horizontal="center" vertical="center"/>
    </xf>
    <xf numFmtId="0" fontId="1" fillId="0" borderId="38" xfId="26" applyFont="1" applyBorder="1" applyAlignment="1">
      <alignment horizontal="center" vertical="center"/>
    </xf>
    <xf numFmtId="3" fontId="1" fillId="0" borderId="78" xfId="26" applyNumberFormat="1" applyFont="1" applyBorder="1" applyAlignment="1">
      <alignment horizontal="center" vertical="center"/>
    </xf>
    <xf numFmtId="169" fontId="1" fillId="0" borderId="79" xfId="26" applyNumberFormat="1" applyFont="1" applyBorder="1" applyAlignment="1">
      <alignment horizontal="center" vertical="center"/>
    </xf>
    <xf numFmtId="0" fontId="25" fillId="0" borderId="42" xfId="26" applyFont="1" applyBorder="1" applyAlignment="1">
      <alignment horizontal="center" vertical="center"/>
    </xf>
    <xf numFmtId="0" fontId="1" fillId="0" borderId="5" xfId="26" applyFont="1" applyBorder="1" applyAlignment="1">
      <alignment horizontal="center" vertical="center"/>
    </xf>
    <xf numFmtId="0" fontId="1" fillId="0" borderId="0" xfId="26" applyFont="1" applyAlignment="1">
      <alignment horizontal="center" vertical="center"/>
    </xf>
    <xf numFmtId="0" fontId="1" fillId="0" borderId="21" xfId="26" applyFont="1" applyBorder="1" applyAlignment="1">
      <alignment horizontal="center" vertical="center"/>
    </xf>
    <xf numFmtId="3" fontId="1" fillId="0" borderId="42" xfId="26" applyNumberFormat="1" applyFont="1" applyBorder="1" applyAlignment="1">
      <alignment horizontal="center" vertical="center"/>
    </xf>
    <xf numFmtId="169" fontId="1" fillId="0" borderId="80" xfId="26" applyNumberFormat="1" applyFont="1" applyBorder="1" applyAlignment="1">
      <alignment horizontal="center" vertical="center"/>
    </xf>
    <xf numFmtId="17" fontId="25" fillId="0" borderId="42" xfId="26" applyNumberFormat="1" applyFont="1" applyBorder="1" applyAlignment="1">
      <alignment horizontal="center" vertical="center"/>
    </xf>
    <xf numFmtId="0" fontId="25" fillId="0" borderId="81" xfId="26" applyFont="1" applyBorder="1" applyAlignment="1">
      <alignment horizontal="center" vertical="center"/>
    </xf>
    <xf numFmtId="0" fontId="1" fillId="0" borderId="26" xfId="26" applyFont="1" applyBorder="1" applyAlignment="1">
      <alignment horizontal="center" vertical="center"/>
    </xf>
    <xf numFmtId="0" fontId="1" fillId="0" borderId="30" xfId="26" applyFont="1" applyBorder="1" applyAlignment="1">
      <alignment horizontal="center" vertical="center"/>
    </xf>
    <xf numFmtId="0" fontId="1" fillId="0" borderId="61" xfId="26" applyFont="1" applyBorder="1" applyAlignment="1">
      <alignment horizontal="center" vertical="center"/>
    </xf>
    <xf numFmtId="3" fontId="1" fillId="0" borderId="81" xfId="26" applyNumberFormat="1" applyFont="1" applyBorder="1" applyAlignment="1">
      <alignment horizontal="center" vertical="center"/>
    </xf>
    <xf numFmtId="169" fontId="1" fillId="0" borderId="74" xfId="26" applyNumberFormat="1" applyFont="1" applyBorder="1" applyAlignment="1">
      <alignment horizontal="center" vertical="center"/>
    </xf>
    <xf numFmtId="0" fontId="25" fillId="0" borderId="39" xfId="26" applyFont="1" applyBorder="1" applyAlignment="1">
      <alignment horizontal="center" vertical="center"/>
    </xf>
    <xf numFmtId="168" fontId="25" fillId="0" borderId="39" xfId="26" applyNumberFormat="1" applyFont="1" applyBorder="1" applyAlignment="1">
      <alignment horizontal="center" vertical="center"/>
    </xf>
    <xf numFmtId="168" fontId="25" fillId="0" borderId="14" xfId="26" applyNumberFormat="1" applyFont="1" applyBorder="1" applyAlignment="1">
      <alignment horizontal="center" vertical="center"/>
    </xf>
    <xf numFmtId="168" fontId="25" fillId="0" borderId="15" xfId="26" applyNumberFormat="1" applyFont="1" applyBorder="1" applyAlignment="1">
      <alignment horizontal="center" vertical="center"/>
    </xf>
    <xf numFmtId="3" fontId="25" fillId="0" borderId="39" xfId="17" applyNumberFormat="1" applyFont="1" applyBorder="1" applyAlignment="1">
      <alignment horizontal="center" vertical="center"/>
    </xf>
    <xf numFmtId="0" fontId="89" fillId="11" borderId="0" xfId="0" applyFont="1" applyFill="1" applyAlignment="1">
      <alignment horizontal="left" vertical="top"/>
    </xf>
    <xf numFmtId="0" fontId="89" fillId="11" borderId="0" xfId="0" applyFont="1" applyFill="1" applyAlignment="1">
      <alignment horizontal="right" vertical="top" wrapText="1"/>
    </xf>
    <xf numFmtId="0" fontId="0" fillId="11" borderId="0" xfId="0" applyFill="1" applyAlignment="1">
      <alignment horizontal="left" vertical="top" wrapText="1"/>
    </xf>
    <xf numFmtId="0" fontId="90" fillId="12" borderId="58" xfId="0" applyFont="1" applyFill="1" applyBorder="1" applyAlignment="1">
      <alignment horizontal="left" vertical="top"/>
    </xf>
    <xf numFmtId="0" fontId="90" fillId="12" borderId="58" xfId="0" applyFont="1" applyFill="1" applyBorder="1" applyAlignment="1">
      <alignment horizontal="left" vertical="top" wrapText="1"/>
    </xf>
    <xf numFmtId="49" fontId="91" fillId="13" borderId="58" xfId="27">
      <alignment horizontal="right" vertical="top"/>
    </xf>
    <xf numFmtId="49" fontId="91" fillId="13" borderId="58" xfId="27" applyAlignment="1">
      <alignment horizontal="right" vertical="top" wrapText="1"/>
    </xf>
    <xf numFmtId="4" fontId="91" fillId="13" borderId="58" xfId="28">
      <alignment horizontal="right" vertical="top"/>
    </xf>
    <xf numFmtId="173" fontId="91" fillId="13" borderId="58" xfId="29">
      <alignment horizontal="right" vertical="top"/>
    </xf>
    <xf numFmtId="1" fontId="91" fillId="13" borderId="58" xfId="30">
      <alignment horizontal="right" vertical="top"/>
    </xf>
    <xf numFmtId="49" fontId="91" fillId="14" borderId="58" xfId="31">
      <alignment horizontal="right" vertical="top"/>
    </xf>
    <xf numFmtId="49" fontId="91" fillId="14" borderId="58" xfId="31" applyAlignment="1">
      <alignment horizontal="right" vertical="top" wrapText="1"/>
    </xf>
    <xf numFmtId="4" fontId="91" fillId="14" borderId="58" xfId="32">
      <alignment horizontal="right" vertical="top"/>
    </xf>
    <xf numFmtId="173" fontId="91" fillId="14" borderId="58" xfId="33">
      <alignment horizontal="right" vertical="top"/>
    </xf>
    <xf numFmtId="1" fontId="91" fillId="14" borderId="58" xfId="34">
      <alignment horizontal="right" vertical="top"/>
    </xf>
    <xf numFmtId="0" fontId="92" fillId="15" borderId="58" xfId="0" applyFont="1" applyFill="1" applyBorder="1" applyAlignment="1">
      <alignment horizontal="right" vertical="top"/>
    </xf>
    <xf numFmtId="0" fontId="92" fillId="15" borderId="58" xfId="0" applyFont="1" applyFill="1" applyBorder="1" applyAlignment="1">
      <alignment horizontal="right" vertical="top" wrapText="1"/>
    </xf>
    <xf numFmtId="169" fontId="93" fillId="0" borderId="2" xfId="13" applyNumberFormat="1" applyFont="1" applyBorder="1"/>
    <xf numFmtId="0" fontId="44" fillId="0" borderId="0" xfId="35"/>
    <xf numFmtId="168" fontId="44" fillId="0" borderId="0" xfId="35" applyNumberFormat="1"/>
    <xf numFmtId="0" fontId="44" fillId="0" borderId="0" xfId="35" applyAlignment="1">
      <alignment horizontal="left"/>
    </xf>
    <xf numFmtId="0" fontId="18" fillId="2" borderId="0" xfId="36" applyFill="1"/>
    <xf numFmtId="0" fontId="18" fillId="0" borderId="0" xfId="36"/>
    <xf numFmtId="0" fontId="18" fillId="18" borderId="0" xfId="36" applyFill="1"/>
    <xf numFmtId="0" fontId="18" fillId="2" borderId="0" xfId="37" applyFont="1" applyFill="1" applyAlignment="1">
      <alignment horizontal="left" vertical="center"/>
    </xf>
    <xf numFmtId="0" fontId="18" fillId="20" borderId="39" xfId="36" applyFill="1" applyBorder="1" applyAlignment="1">
      <alignment horizontal="left" vertical="center" wrapText="1"/>
    </xf>
    <xf numFmtId="6" fontId="42" fillId="0" borderId="40" xfId="36" applyNumberFormat="1" applyFont="1" applyBorder="1" applyAlignment="1">
      <alignment horizontal="center" vertical="center" wrapText="1"/>
    </xf>
    <xf numFmtId="6" fontId="42" fillId="21" borderId="39" xfId="36" applyNumberFormat="1" applyFont="1" applyFill="1" applyBorder="1" applyAlignment="1">
      <alignment horizontal="center" vertical="center" wrapText="1"/>
    </xf>
    <xf numFmtId="6" fontId="42" fillId="0" borderId="14" xfId="36" applyNumberFormat="1" applyFont="1" applyBorder="1" applyAlignment="1">
      <alignment horizontal="center" vertical="center" wrapText="1"/>
    </xf>
    <xf numFmtId="6" fontId="42" fillId="22" borderId="40" xfId="36" applyNumberFormat="1" applyFont="1" applyFill="1" applyBorder="1" applyAlignment="1">
      <alignment horizontal="center" vertical="center" wrapText="1"/>
    </xf>
    <xf numFmtId="6" fontId="42" fillId="22" borderId="15" xfId="36" applyNumberFormat="1" applyFont="1" applyFill="1" applyBorder="1" applyAlignment="1">
      <alignment horizontal="center" vertical="center" wrapText="1"/>
    </xf>
    <xf numFmtId="0" fontId="42" fillId="23" borderId="82" xfId="36" applyFont="1" applyFill="1" applyBorder="1" applyAlignment="1">
      <alignment horizontal="left" vertical="center"/>
    </xf>
    <xf numFmtId="0" fontId="42" fillId="0" borderId="46" xfId="36" applyFont="1" applyBorder="1" applyAlignment="1">
      <alignment horizontal="center" vertical="center"/>
    </xf>
    <xf numFmtId="0" fontId="42" fillId="23" borderId="78" xfId="36" applyFont="1" applyFill="1" applyBorder="1" applyAlignment="1">
      <alignment horizontal="center" vertical="center"/>
    </xf>
    <xf numFmtId="0" fontId="42" fillId="0" borderId="0" xfId="36" applyFont="1" applyAlignment="1">
      <alignment horizontal="center" vertical="center"/>
    </xf>
    <xf numFmtId="0" fontId="42" fillId="23" borderId="82" xfId="36" applyFont="1" applyFill="1" applyBorder="1" applyAlignment="1">
      <alignment horizontal="center" vertical="center"/>
    </xf>
    <xf numFmtId="0" fontId="42" fillId="23" borderId="79" xfId="36" applyFont="1" applyFill="1" applyBorder="1" applyAlignment="1">
      <alignment horizontal="center" vertical="center"/>
    </xf>
    <xf numFmtId="0" fontId="44" fillId="0" borderId="76" xfId="37" applyFont="1" applyBorder="1" applyAlignment="1">
      <alignment vertical="center" wrapText="1"/>
    </xf>
    <xf numFmtId="6" fontId="18" fillId="0" borderId="46" xfId="37" applyNumberFormat="1" applyFont="1" applyBorder="1" applyAlignment="1">
      <alignment horizontal="center" vertical="center" wrapText="1"/>
    </xf>
    <xf numFmtId="6" fontId="18" fillId="18" borderId="42" xfId="37" applyNumberFormat="1" applyFont="1" applyFill="1" applyBorder="1" applyAlignment="1">
      <alignment horizontal="center" vertical="center" wrapText="1"/>
    </xf>
    <xf numFmtId="6" fontId="18" fillId="0" borderId="0" xfId="37" applyNumberFormat="1" applyFont="1" applyAlignment="1">
      <alignment horizontal="center" vertical="center" wrapText="1"/>
    </xf>
    <xf numFmtId="6" fontId="18" fillId="18" borderId="80" xfId="37" applyNumberFormat="1" applyFont="1" applyFill="1" applyBorder="1" applyAlignment="1">
      <alignment horizontal="center" vertical="center" wrapText="1"/>
    </xf>
    <xf numFmtId="0" fontId="42" fillId="23" borderId="76" xfId="36" applyFont="1" applyFill="1" applyBorder="1" applyAlignment="1">
      <alignment horizontal="left" vertical="center"/>
    </xf>
    <xf numFmtId="0" fontId="42" fillId="23" borderId="42" xfId="36" applyFont="1" applyFill="1" applyBorder="1" applyAlignment="1">
      <alignment horizontal="center" vertical="center"/>
    </xf>
    <xf numFmtId="0" fontId="42" fillId="23" borderId="76" xfId="36" applyFont="1" applyFill="1" applyBorder="1" applyAlignment="1">
      <alignment horizontal="center" vertical="center"/>
    </xf>
    <xf numFmtId="0" fontId="42" fillId="23" borderId="80" xfId="36" applyFont="1" applyFill="1" applyBorder="1" applyAlignment="1">
      <alignment horizontal="center" vertical="center"/>
    </xf>
    <xf numFmtId="0" fontId="44" fillId="0" borderId="76" xfId="37" applyFont="1" applyBorder="1" applyAlignment="1">
      <alignment horizontal="right" vertical="center" wrapText="1"/>
    </xf>
    <xf numFmtId="9" fontId="18" fillId="0" borderId="46" xfId="37" applyNumberFormat="1" applyFont="1" applyBorder="1" applyAlignment="1">
      <alignment horizontal="center" vertical="center" wrapText="1"/>
    </xf>
    <xf numFmtId="9" fontId="18" fillId="0" borderId="0" xfId="37" applyNumberFormat="1" applyFont="1" applyAlignment="1">
      <alignment horizontal="center" vertical="center" wrapText="1"/>
    </xf>
    <xf numFmtId="6" fontId="18" fillId="0" borderId="42" xfId="37" applyNumberFormat="1" applyFont="1" applyBorder="1" applyAlignment="1">
      <alignment horizontal="center" vertical="center" wrapText="1"/>
    </xf>
    <xf numFmtId="6" fontId="18" fillId="0" borderId="80" xfId="37" applyNumberFormat="1" applyFont="1" applyBorder="1" applyAlignment="1">
      <alignment horizontal="center" vertical="center" wrapText="1"/>
    </xf>
    <xf numFmtId="6" fontId="44" fillId="0" borderId="46" xfId="37" applyNumberFormat="1" applyFont="1" applyBorder="1" applyAlignment="1">
      <alignment horizontal="center" vertical="center" wrapText="1"/>
    </xf>
    <xf numFmtId="6" fontId="44" fillId="18" borderId="42" xfId="37" applyNumberFormat="1" applyFont="1" applyFill="1" applyBorder="1" applyAlignment="1">
      <alignment horizontal="center" vertical="center" wrapText="1"/>
    </xf>
    <xf numFmtId="6" fontId="44" fillId="0" borderId="0" xfId="37" applyNumberFormat="1" applyFont="1" applyAlignment="1">
      <alignment horizontal="center" vertical="center" wrapText="1"/>
    </xf>
    <xf numFmtId="6" fontId="44" fillId="2" borderId="76" xfId="37" applyNumberFormat="1" applyFont="1" applyFill="1" applyBorder="1" applyAlignment="1">
      <alignment horizontal="center" vertical="center" wrapText="1"/>
    </xf>
    <xf numFmtId="6" fontId="44" fillId="2" borderId="42" xfId="37" applyNumberFormat="1" applyFont="1" applyFill="1" applyBorder="1" applyAlignment="1">
      <alignment horizontal="center" vertical="center" wrapText="1"/>
    </xf>
    <xf numFmtId="6" fontId="44" fillId="18" borderId="80" xfId="37" applyNumberFormat="1" applyFont="1" applyFill="1" applyBorder="1" applyAlignment="1">
      <alignment horizontal="center" vertical="center" wrapText="1"/>
    </xf>
    <xf numFmtId="10" fontId="18" fillId="0" borderId="0" xfId="5" applyNumberFormat="1" applyFont="1"/>
    <xf numFmtId="9" fontId="44" fillId="0" borderId="46" xfId="37" applyNumberFormat="1" applyFont="1" applyBorder="1" applyAlignment="1">
      <alignment horizontal="center" vertical="center" wrapText="1"/>
    </xf>
    <xf numFmtId="9" fontId="44" fillId="2" borderId="42" xfId="37" applyNumberFormat="1" applyFont="1" applyFill="1" applyBorder="1" applyAlignment="1">
      <alignment horizontal="center" vertical="center" wrapText="1"/>
    </xf>
    <xf numFmtId="9" fontId="44" fillId="0" borderId="0" xfId="37" applyNumberFormat="1" applyFont="1" applyAlignment="1">
      <alignment horizontal="center" vertical="center" wrapText="1"/>
    </xf>
    <xf numFmtId="9" fontId="44" fillId="2" borderId="76" xfId="37" applyNumberFormat="1" applyFont="1" applyFill="1" applyBorder="1" applyAlignment="1">
      <alignment horizontal="center" vertical="center" wrapText="1"/>
    </xf>
    <xf numFmtId="9" fontId="44" fillId="2" borderId="80" xfId="37" applyNumberFormat="1" applyFont="1" applyFill="1" applyBorder="1" applyAlignment="1">
      <alignment horizontal="center" vertical="center" wrapText="1"/>
    </xf>
    <xf numFmtId="164" fontId="18" fillId="0" borderId="0" xfId="5" applyNumberFormat="1" applyFont="1"/>
    <xf numFmtId="10" fontId="18" fillId="0" borderId="0" xfId="36" applyNumberFormat="1"/>
    <xf numFmtId="9" fontId="18" fillId="2" borderId="42" xfId="37" applyNumberFormat="1" applyFont="1" applyFill="1" applyBorder="1" applyAlignment="1">
      <alignment horizontal="center" vertical="center" wrapText="1"/>
    </xf>
    <xf numFmtId="9" fontId="18" fillId="2" borderId="80" xfId="37" applyNumberFormat="1" applyFont="1" applyFill="1" applyBorder="1" applyAlignment="1">
      <alignment horizontal="center" vertical="center" wrapText="1"/>
    </xf>
    <xf numFmtId="6" fontId="18" fillId="2" borderId="42" xfId="37" applyNumberFormat="1" applyFont="1" applyFill="1" applyBorder="1" applyAlignment="1">
      <alignment horizontal="center" vertical="center" wrapText="1"/>
    </xf>
    <xf numFmtId="6" fontId="18" fillId="2" borderId="80" xfId="37" applyNumberFormat="1" applyFont="1" applyFill="1" applyBorder="1" applyAlignment="1">
      <alignment horizontal="center" vertical="center" wrapText="1"/>
    </xf>
    <xf numFmtId="9" fontId="44" fillId="0" borderId="76" xfId="37" applyNumberFormat="1" applyFont="1" applyBorder="1" applyAlignment="1">
      <alignment horizontal="center" vertical="center" wrapText="1"/>
    </xf>
    <xf numFmtId="9" fontId="44" fillId="0" borderId="42" xfId="37" applyNumberFormat="1" applyFont="1" applyBorder="1" applyAlignment="1">
      <alignment horizontal="center" vertical="center" wrapText="1"/>
    </xf>
    <xf numFmtId="9" fontId="44" fillId="0" borderId="80" xfId="37" applyNumberFormat="1" applyFont="1" applyBorder="1" applyAlignment="1">
      <alignment horizontal="center" vertical="center" wrapText="1"/>
    </xf>
    <xf numFmtId="6" fontId="18" fillId="0" borderId="0" xfId="36" quotePrefix="1" applyNumberFormat="1"/>
    <xf numFmtId="6" fontId="18" fillId="17" borderId="0" xfId="36" applyNumberFormat="1" applyFill="1"/>
    <xf numFmtId="6" fontId="18" fillId="0" borderId="0" xfId="36" applyNumberFormat="1"/>
    <xf numFmtId="10" fontId="18" fillId="17" borderId="0" xfId="36" applyNumberFormat="1" applyFill="1"/>
    <xf numFmtId="0" fontId="18" fillId="17" borderId="0" xfId="36" applyFill="1"/>
    <xf numFmtId="10" fontId="97" fillId="17" borderId="0" xfId="36" applyNumberFormat="1" applyFont="1" applyFill="1"/>
    <xf numFmtId="0" fontId="97" fillId="17" borderId="0" xfId="36" applyFont="1" applyFill="1"/>
    <xf numFmtId="0" fontId="42" fillId="0" borderId="0" xfId="36" applyFont="1"/>
    <xf numFmtId="10" fontId="42" fillId="0" borderId="0" xfId="5" applyNumberFormat="1" applyFont="1"/>
    <xf numFmtId="6" fontId="44" fillId="0" borderId="42" xfId="37" applyNumberFormat="1" applyFont="1" applyBorder="1" applyAlignment="1">
      <alignment horizontal="center" vertical="center" wrapText="1"/>
    </xf>
    <xf numFmtId="6" fontId="44" fillId="0" borderId="76" xfId="37" applyNumberFormat="1" applyFont="1" applyBorder="1" applyAlignment="1">
      <alignment horizontal="center" vertical="center" wrapText="1"/>
    </xf>
    <xf numFmtId="6" fontId="44" fillId="0" borderId="63" xfId="37" applyNumberFormat="1" applyFont="1" applyBorder="1" applyAlignment="1">
      <alignment horizontal="center" vertical="center" wrapText="1"/>
    </xf>
    <xf numFmtId="6" fontId="44" fillId="0" borderId="80" xfId="37" applyNumberFormat="1" applyFont="1" applyBorder="1" applyAlignment="1">
      <alignment horizontal="center" vertical="center" wrapText="1"/>
    </xf>
    <xf numFmtId="0" fontId="42" fillId="23" borderId="70" xfId="36" applyFont="1" applyFill="1" applyBorder="1" applyAlignment="1">
      <alignment horizontal="left" vertical="center"/>
    </xf>
    <xf numFmtId="0" fontId="42" fillId="23" borderId="43" xfId="36" applyFont="1" applyFill="1" applyBorder="1" applyAlignment="1">
      <alignment horizontal="center" vertical="center"/>
    </xf>
    <xf numFmtId="0" fontId="42" fillId="23" borderId="71" xfId="36" applyFont="1" applyFill="1" applyBorder="1" applyAlignment="1">
      <alignment horizontal="center" vertical="center"/>
    </xf>
    <xf numFmtId="0" fontId="44" fillId="0" borderId="84" xfId="37" applyFont="1" applyBorder="1" applyAlignment="1">
      <alignment horizontal="right" vertical="center" wrapText="1"/>
    </xf>
    <xf numFmtId="10" fontId="42" fillId="0" borderId="0" xfId="36" applyNumberFormat="1" applyFont="1"/>
    <xf numFmtId="6" fontId="44" fillId="2" borderId="80" xfId="37" applyNumberFormat="1" applyFont="1" applyFill="1" applyBorder="1" applyAlignment="1">
      <alignment horizontal="center" vertical="center" wrapText="1"/>
    </xf>
    <xf numFmtId="0" fontId="44" fillId="0" borderId="53" xfId="37" applyFont="1" applyBorder="1" applyAlignment="1">
      <alignment horizontal="right" vertical="center" wrapText="1"/>
    </xf>
    <xf numFmtId="0" fontId="94" fillId="0" borderId="43" xfId="37" applyFont="1" applyBorder="1" applyAlignment="1">
      <alignment horizontal="right" vertical="center" wrapText="1"/>
    </xf>
    <xf numFmtId="0" fontId="18" fillId="0" borderId="43" xfId="37" applyFont="1" applyBorder="1" applyAlignment="1">
      <alignment horizontal="center" vertical="center" wrapText="1"/>
    </xf>
    <xf numFmtId="0" fontId="94" fillId="0" borderId="54" xfId="37" applyFont="1" applyBorder="1" applyAlignment="1">
      <alignment horizontal="right" vertical="center" wrapText="1"/>
    </xf>
    <xf numFmtId="0" fontId="18" fillId="0" borderId="71" xfId="37" applyFont="1" applyBorder="1" applyAlignment="1">
      <alignment horizontal="center" vertical="center" wrapText="1"/>
    </xf>
    <xf numFmtId="0" fontId="42" fillId="23" borderId="39" xfId="36" applyFont="1" applyFill="1" applyBorder="1" applyAlignment="1">
      <alignment horizontal="left" vertical="center"/>
    </xf>
    <xf numFmtId="0" fontId="51" fillId="0" borderId="40" xfId="36" applyFont="1" applyBorder="1" applyAlignment="1">
      <alignment horizontal="center" vertical="center" wrapText="1"/>
    </xf>
    <xf numFmtId="0" fontId="42" fillId="24" borderId="77" xfId="36" applyFont="1" applyFill="1" applyBorder="1" applyAlignment="1">
      <alignment horizontal="center" vertical="center"/>
    </xf>
    <xf numFmtId="0" fontId="42" fillId="24" borderId="13" xfId="36" applyFont="1" applyFill="1" applyBorder="1" applyAlignment="1">
      <alignment horizontal="center" vertical="center"/>
    </xf>
    <xf numFmtId="0" fontId="42" fillId="24" borderId="40" xfId="36" applyFont="1" applyFill="1" applyBorder="1" applyAlignment="1">
      <alignment horizontal="center" vertical="center"/>
    </xf>
    <xf numFmtId="0" fontId="51" fillId="0" borderId="15" xfId="36" applyFont="1" applyBorder="1" applyAlignment="1">
      <alignment horizontal="center" vertical="center" wrapText="1"/>
    </xf>
    <xf numFmtId="0" fontId="42" fillId="22" borderId="77" xfId="36" applyFont="1" applyFill="1" applyBorder="1" applyAlignment="1">
      <alignment horizontal="center" vertical="center"/>
    </xf>
    <xf numFmtId="0" fontId="42" fillId="22" borderId="13" xfId="36" applyFont="1" applyFill="1" applyBorder="1" applyAlignment="1">
      <alignment horizontal="center" vertical="center"/>
    </xf>
    <xf numFmtId="0" fontId="42" fillId="22" borderId="40" xfId="36" applyFont="1" applyFill="1" applyBorder="1" applyAlignment="1">
      <alignment horizontal="center" vertical="center"/>
    </xf>
    <xf numFmtId="0" fontId="42" fillId="22" borderId="15" xfId="36" applyFont="1" applyFill="1" applyBorder="1" applyAlignment="1">
      <alignment horizontal="center" vertical="center"/>
    </xf>
    <xf numFmtId="0" fontId="18" fillId="0" borderId="82" xfId="38" applyBorder="1" applyAlignment="1">
      <alignment vertical="top" wrapText="1"/>
    </xf>
    <xf numFmtId="0" fontId="58" fillId="0" borderId="78" xfId="38" applyFont="1" applyBorder="1" applyAlignment="1">
      <alignment horizontal="center" vertical="top" wrapText="1"/>
    </xf>
    <xf numFmtId="168" fontId="18" fillId="0" borderId="57" xfId="38" applyNumberFormat="1" applyBorder="1" applyAlignment="1">
      <alignment horizontal="center" vertical="top" wrapText="1"/>
    </xf>
    <xf numFmtId="168" fontId="18" fillId="0" borderId="56" xfId="38" applyNumberFormat="1" applyBorder="1" applyAlignment="1">
      <alignment horizontal="center" vertical="top" wrapText="1"/>
    </xf>
    <xf numFmtId="0" fontId="58" fillId="0" borderId="79" xfId="38" applyFont="1" applyBorder="1" applyAlignment="1">
      <alignment horizontal="center" vertical="top" wrapText="1"/>
    </xf>
    <xf numFmtId="168" fontId="18" fillId="0" borderId="78" xfId="36" applyNumberFormat="1" applyBorder="1" applyAlignment="1">
      <alignment horizontal="center"/>
    </xf>
    <xf numFmtId="0" fontId="18" fillId="0" borderId="76" xfId="38" applyBorder="1" applyAlignment="1">
      <alignment vertical="top" wrapText="1"/>
    </xf>
    <xf numFmtId="168" fontId="18" fillId="0" borderId="62" xfId="38" applyNumberFormat="1" applyBorder="1" applyAlignment="1">
      <alignment horizontal="center" vertical="top" wrapText="1"/>
    </xf>
    <xf numFmtId="168" fontId="18" fillId="0" borderId="84" xfId="38" applyNumberFormat="1" applyBorder="1" applyAlignment="1">
      <alignment horizontal="center" vertical="top" wrapText="1"/>
    </xf>
    <xf numFmtId="168" fontId="58" fillId="2" borderId="42" xfId="38" applyNumberFormat="1" applyFont="1" applyFill="1" applyBorder="1" applyAlignment="1">
      <alignment horizontal="center" vertical="top" wrapText="1"/>
    </xf>
    <xf numFmtId="0" fontId="58" fillId="0" borderId="80" xfId="38" applyFont="1" applyBorder="1" applyAlignment="1">
      <alignment horizontal="center" vertical="top" wrapText="1"/>
    </xf>
    <xf numFmtId="169" fontId="18" fillId="0" borderId="0" xfId="36" applyNumberFormat="1"/>
    <xf numFmtId="0" fontId="58" fillId="0" borderId="80" xfId="36" applyFont="1" applyBorder="1" applyAlignment="1">
      <alignment horizontal="center"/>
    </xf>
    <xf numFmtId="0" fontId="58" fillId="0" borderId="42" xfId="36" applyFont="1" applyBorder="1" applyAlignment="1">
      <alignment horizontal="center"/>
    </xf>
    <xf numFmtId="168" fontId="18" fillId="0" borderId="42" xfId="36" applyNumberFormat="1" applyBorder="1" applyAlignment="1">
      <alignment horizontal="center"/>
    </xf>
    <xf numFmtId="168" fontId="18" fillId="0" borderId="80" xfId="36" applyNumberFormat="1" applyBorder="1" applyAlignment="1">
      <alignment horizontal="center"/>
    </xf>
    <xf numFmtId="3" fontId="18" fillId="0" borderId="76" xfId="38" applyNumberFormat="1" applyBorder="1" applyAlignment="1">
      <alignment horizontal="left" vertical="top" wrapText="1"/>
    </xf>
    <xf numFmtId="0" fontId="18" fillId="0" borderId="42" xfId="36" applyBorder="1"/>
    <xf numFmtId="169" fontId="18" fillId="0" borderId="62" xfId="38" applyNumberFormat="1" applyBorder="1" applyAlignment="1">
      <alignment horizontal="center" vertical="top" wrapText="1"/>
    </xf>
    <xf numFmtId="169" fontId="18" fillId="0" borderId="84" xfId="38" applyNumberFormat="1" applyBorder="1" applyAlignment="1">
      <alignment horizontal="center" vertical="top" wrapText="1"/>
    </xf>
    <xf numFmtId="169" fontId="18" fillId="0" borderId="42" xfId="38" applyNumberFormat="1" applyBorder="1" applyAlignment="1">
      <alignment horizontal="center" vertical="top" wrapText="1"/>
    </xf>
    <xf numFmtId="0" fontId="18" fillId="0" borderId="80" xfId="36" applyBorder="1"/>
    <xf numFmtId="169" fontId="18" fillId="0" borderId="80" xfId="38" applyNumberFormat="1" applyBorder="1" applyAlignment="1">
      <alignment horizontal="center" vertical="top" wrapText="1"/>
    </xf>
    <xf numFmtId="0" fontId="42" fillId="25" borderId="76" xfId="38" applyFont="1" applyFill="1" applyBorder="1" applyAlignment="1">
      <alignment horizontal="center" vertical="top" wrapText="1"/>
    </xf>
    <xf numFmtId="169" fontId="42" fillId="25" borderId="62" xfId="38" applyNumberFormat="1" applyFont="1" applyFill="1" applyBorder="1" applyAlignment="1">
      <alignment horizontal="center"/>
    </xf>
    <xf numFmtId="169" fontId="42" fillId="25" borderId="84" xfId="38" applyNumberFormat="1" applyFont="1" applyFill="1" applyBorder="1" applyAlignment="1">
      <alignment horizontal="center"/>
    </xf>
    <xf numFmtId="169" fontId="42" fillId="25" borderId="42" xfId="38" applyNumberFormat="1" applyFont="1" applyFill="1" applyBorder="1" applyAlignment="1">
      <alignment horizontal="center"/>
    </xf>
    <xf numFmtId="169" fontId="42" fillId="25" borderId="80" xfId="38" applyNumberFormat="1" applyFont="1" applyFill="1" applyBorder="1" applyAlignment="1">
      <alignment horizontal="center"/>
    </xf>
    <xf numFmtId="0" fontId="42" fillId="25" borderId="72" xfId="38" applyFont="1" applyFill="1" applyBorder="1" applyAlignment="1">
      <alignment horizontal="center" vertical="top" wrapText="1"/>
    </xf>
    <xf numFmtId="0" fontId="18" fillId="0" borderId="81" xfId="36" applyBorder="1"/>
    <xf numFmtId="10" fontId="42" fillId="25" borderId="85" xfId="5" applyNumberFormat="1" applyFont="1" applyFill="1" applyBorder="1" applyAlignment="1">
      <alignment horizontal="center"/>
    </xf>
    <xf numFmtId="164" fontId="42" fillId="25" borderId="86" xfId="5" applyNumberFormat="1" applyFont="1" applyFill="1" applyBorder="1" applyAlignment="1">
      <alignment horizontal="center"/>
    </xf>
    <xf numFmtId="164" fontId="42" fillId="25" borderId="81" xfId="5" applyNumberFormat="1" applyFont="1" applyFill="1" applyBorder="1" applyAlignment="1">
      <alignment horizontal="center"/>
    </xf>
    <xf numFmtId="164" fontId="18" fillId="0" borderId="74" xfId="36" applyNumberFormat="1" applyBorder="1"/>
    <xf numFmtId="164" fontId="42" fillId="25" borderId="85" xfId="5" applyNumberFormat="1" applyFont="1" applyFill="1" applyBorder="1" applyAlignment="1">
      <alignment horizontal="center"/>
    </xf>
    <xf numFmtId="164" fontId="42" fillId="25" borderId="74" xfId="5" applyNumberFormat="1" applyFont="1" applyFill="1" applyBorder="1" applyAlignment="1">
      <alignment horizontal="center"/>
    </xf>
    <xf numFmtId="0" fontId="18" fillId="0" borderId="0" xfId="36" applyAlignment="1">
      <alignment horizontal="center"/>
    </xf>
    <xf numFmtId="0" fontId="18" fillId="0" borderId="0" xfId="38"/>
    <xf numFmtId="0" fontId="58" fillId="0" borderId="0" xfId="38" applyFont="1" applyAlignment="1">
      <alignment horizontal="center" vertical="top" wrapText="1"/>
    </xf>
    <xf numFmtId="0" fontId="58" fillId="0" borderId="0" xfId="36" applyFont="1" applyAlignment="1">
      <alignment horizontal="center"/>
    </xf>
    <xf numFmtId="0" fontId="46" fillId="0" borderId="0" xfId="37" applyFont="1" applyAlignment="1">
      <alignment horizontal="left" vertical="center"/>
    </xf>
    <xf numFmtId="0" fontId="98" fillId="0" borderId="0" xfId="36" applyFont="1"/>
    <xf numFmtId="6" fontId="18" fillId="26" borderId="76" xfId="37" applyNumberFormat="1" applyFont="1" applyFill="1" applyBorder="1" applyAlignment="1">
      <alignment horizontal="center" vertical="center" wrapText="1"/>
    </xf>
    <xf numFmtId="6" fontId="18" fillId="18" borderId="76" xfId="37" applyNumberFormat="1" applyFont="1" applyFill="1" applyBorder="1" applyAlignment="1">
      <alignment horizontal="center" vertical="center" wrapText="1"/>
    </xf>
    <xf numFmtId="169" fontId="18" fillId="0" borderId="76" xfId="37" applyNumberFormat="1" applyFont="1" applyBorder="1" applyAlignment="1">
      <alignment horizontal="center" vertical="center" wrapText="1"/>
    </xf>
    <xf numFmtId="10" fontId="98" fillId="0" borderId="0" xfId="36" applyNumberFormat="1" applyFont="1"/>
    <xf numFmtId="9" fontId="18" fillId="18" borderId="76" xfId="5" applyFont="1" applyFill="1" applyBorder="1" applyAlignment="1">
      <alignment horizontal="center" vertical="center" wrapText="1"/>
    </xf>
    <xf numFmtId="0" fontId="42" fillId="23" borderId="70" xfId="36" applyFont="1" applyFill="1" applyBorder="1" applyAlignment="1">
      <alignment horizontal="center" vertical="center"/>
    </xf>
    <xf numFmtId="0" fontId="94" fillId="0" borderId="52" xfId="37" applyFont="1" applyBorder="1" applyAlignment="1">
      <alignment horizontal="right" vertical="center" wrapText="1"/>
    </xf>
    <xf numFmtId="0" fontId="18" fillId="0" borderId="26" xfId="37" applyFont="1" applyBorder="1" applyAlignment="1">
      <alignment horizontal="center" vertical="center" wrapText="1"/>
    </xf>
    <xf numFmtId="0" fontId="18" fillId="0" borderId="81" xfId="37" applyFont="1" applyBorder="1" applyAlignment="1">
      <alignment horizontal="center" vertical="center" wrapText="1"/>
    </xf>
    <xf numFmtId="0" fontId="18" fillId="0" borderId="74" xfId="37" applyFont="1" applyBorder="1" applyAlignment="1">
      <alignment horizontal="center" vertical="center" wrapText="1"/>
    </xf>
    <xf numFmtId="0" fontId="51" fillId="0" borderId="52" xfId="36" applyFont="1" applyBorder="1" applyAlignment="1">
      <alignment horizontal="center" vertical="center" wrapText="1"/>
    </xf>
    <xf numFmtId="0" fontId="42" fillId="24" borderId="15" xfId="36" applyFont="1" applyFill="1" applyBorder="1" applyAlignment="1">
      <alignment horizontal="center" vertical="center"/>
    </xf>
    <xf numFmtId="0" fontId="42" fillId="24" borderId="14" xfId="36" applyFont="1" applyFill="1" applyBorder="1" applyAlignment="1">
      <alignment horizontal="center" vertical="center"/>
    </xf>
    <xf numFmtId="0" fontId="42" fillId="22" borderId="52" xfId="36" applyFont="1" applyFill="1" applyBorder="1" applyAlignment="1">
      <alignment horizontal="center" vertical="center"/>
    </xf>
    <xf numFmtId="0" fontId="42" fillId="22" borderId="61" xfId="36" applyFont="1" applyFill="1" applyBorder="1" applyAlignment="1">
      <alignment horizontal="center" vertical="center"/>
    </xf>
    <xf numFmtId="0" fontId="18" fillId="0" borderId="56" xfId="38" applyBorder="1" applyAlignment="1">
      <alignment vertical="top" wrapText="1"/>
    </xf>
    <xf numFmtId="0" fontId="99" fillId="0" borderId="78" xfId="38" applyFont="1" applyBorder="1" applyAlignment="1">
      <alignment horizontal="center" vertical="top" wrapText="1"/>
    </xf>
    <xf numFmtId="168" fontId="18" fillId="0" borderId="87" xfId="38" applyNumberFormat="1" applyBorder="1" applyAlignment="1">
      <alignment horizontal="center" vertical="top" wrapText="1"/>
    </xf>
    <xf numFmtId="168" fontId="99" fillId="2" borderId="2" xfId="38" applyNumberFormat="1" applyFont="1" applyFill="1" applyBorder="1" applyAlignment="1">
      <alignment horizontal="center" vertical="top" wrapText="1"/>
    </xf>
    <xf numFmtId="0" fontId="18" fillId="0" borderId="84" xfId="38" applyBorder="1" applyAlignment="1">
      <alignment vertical="top" wrapText="1"/>
    </xf>
    <xf numFmtId="0" fontId="99" fillId="0" borderId="42" xfId="38" applyFont="1" applyBorder="1" applyAlignment="1">
      <alignment horizontal="center" vertical="top" wrapText="1"/>
    </xf>
    <xf numFmtId="168" fontId="99" fillId="2" borderId="63" xfId="38" applyNumberFormat="1" applyFont="1" applyFill="1" applyBorder="1" applyAlignment="1">
      <alignment horizontal="center" vertical="top" wrapText="1"/>
    </xf>
    <xf numFmtId="169" fontId="98" fillId="0" borderId="0" xfId="36" applyNumberFormat="1" applyFont="1"/>
    <xf numFmtId="0" fontId="100" fillId="0" borderId="42" xfId="36" applyFont="1" applyBorder="1" applyAlignment="1">
      <alignment horizontal="center"/>
    </xf>
    <xf numFmtId="168" fontId="18" fillId="0" borderId="66" xfId="38" applyNumberFormat="1" applyBorder="1" applyAlignment="1">
      <alignment horizontal="center" vertical="top" wrapText="1"/>
    </xf>
    <xf numFmtId="3" fontId="18" fillId="0" borderId="82" xfId="38" applyNumberFormat="1" applyBorder="1" applyAlignment="1">
      <alignment horizontal="left" vertical="top" wrapText="1"/>
    </xf>
    <xf numFmtId="0" fontId="98" fillId="0" borderId="42" xfId="36" applyFont="1" applyBorder="1"/>
    <xf numFmtId="169" fontId="18" fillId="0" borderId="57" xfId="38" applyNumberFormat="1" applyBorder="1" applyAlignment="1">
      <alignment horizontal="center" vertical="top" wrapText="1"/>
    </xf>
    <xf numFmtId="169" fontId="18" fillId="0" borderId="87" xfId="38" applyNumberFormat="1" applyBorder="1" applyAlignment="1">
      <alignment horizontal="center" vertical="top" wrapText="1"/>
    </xf>
    <xf numFmtId="169" fontId="18" fillId="0" borderId="2" xfId="38" applyNumberFormat="1" applyBorder="1" applyAlignment="1">
      <alignment horizontal="center" vertical="top" wrapText="1"/>
    </xf>
    <xf numFmtId="169" fontId="42" fillId="25" borderId="66" xfId="38" applyNumberFormat="1" applyFont="1" applyFill="1" applyBorder="1" applyAlignment="1">
      <alignment horizontal="center"/>
    </xf>
    <xf numFmtId="169" fontId="42" fillId="25" borderId="63" xfId="38" applyNumberFormat="1" applyFont="1" applyFill="1" applyBorder="1" applyAlignment="1">
      <alignment horizontal="center"/>
    </xf>
    <xf numFmtId="0" fontId="98" fillId="0" borderId="81" xfId="36" applyFont="1" applyBorder="1"/>
    <xf numFmtId="0" fontId="101" fillId="0" borderId="6" xfId="39" applyFont="1" applyBorder="1"/>
    <xf numFmtId="0" fontId="101" fillId="0" borderId="9" xfId="39" applyFont="1" applyBorder="1"/>
    <xf numFmtId="0" fontId="102" fillId="0" borderId="9" xfId="39" applyFont="1" applyBorder="1" applyAlignment="1">
      <alignment horizontal="center"/>
    </xf>
    <xf numFmtId="2" fontId="102" fillId="0" borderId="9" xfId="39" applyNumberFormat="1" applyFont="1" applyBorder="1" applyAlignment="1">
      <alignment horizontal="center"/>
    </xf>
    <xf numFmtId="0" fontId="86" fillId="0" borderId="0" xfId="39" applyFont="1"/>
    <xf numFmtId="0" fontId="4" fillId="0" borderId="0" xfId="39"/>
    <xf numFmtId="0" fontId="4" fillId="27" borderId="76" xfId="39" applyFill="1" applyBorder="1"/>
    <xf numFmtId="0" fontId="103" fillId="27" borderId="76" xfId="39" applyFont="1" applyFill="1" applyBorder="1" applyAlignment="1">
      <alignment horizontal="center"/>
    </xf>
    <xf numFmtId="2" fontId="103" fillId="27" borderId="63" xfId="39" applyNumberFormat="1" applyFont="1" applyFill="1" applyBorder="1" applyAlignment="1">
      <alignment horizontal="center"/>
    </xf>
    <xf numFmtId="0" fontId="104" fillId="28" borderId="80" xfId="39" applyFont="1" applyFill="1" applyBorder="1" applyAlignment="1">
      <alignment horizontal="center"/>
    </xf>
    <xf numFmtId="0" fontId="104" fillId="28" borderId="63" xfId="39" applyFont="1" applyFill="1" applyBorder="1" applyAlignment="1">
      <alignment horizontal="center"/>
    </xf>
    <xf numFmtId="2" fontId="103" fillId="27" borderId="76" xfId="39" applyNumberFormat="1" applyFont="1" applyFill="1" applyBorder="1" applyAlignment="1">
      <alignment horizontal="center"/>
    </xf>
    <xf numFmtId="0" fontId="104" fillId="0" borderId="63" xfId="39" applyFont="1" applyBorder="1" applyAlignment="1">
      <alignment horizontal="center"/>
    </xf>
    <xf numFmtId="0" fontId="104" fillId="0" borderId="80" xfId="39" applyFont="1" applyBorder="1" applyAlignment="1">
      <alignment horizontal="center"/>
    </xf>
    <xf numFmtId="0" fontId="105" fillId="16" borderId="88" xfId="39" applyFont="1" applyFill="1" applyBorder="1"/>
    <xf numFmtId="0" fontId="4" fillId="16" borderId="89" xfId="39" applyFill="1" applyBorder="1"/>
    <xf numFmtId="0" fontId="4" fillId="16" borderId="90" xfId="39" applyFill="1" applyBorder="1"/>
    <xf numFmtId="2" fontId="4" fillId="16" borderId="90" xfId="39" applyNumberFormat="1" applyFill="1" applyBorder="1" applyAlignment="1">
      <alignment horizontal="center"/>
    </xf>
    <xf numFmtId="0" fontId="4" fillId="16" borderId="91" xfId="39" applyFill="1" applyBorder="1"/>
    <xf numFmtId="2" fontId="86" fillId="16" borderId="89" xfId="39" applyNumberFormat="1" applyFont="1" applyFill="1" applyBorder="1"/>
    <xf numFmtId="2" fontId="86" fillId="16" borderId="93" xfId="39" applyNumberFormat="1" applyFont="1" applyFill="1" applyBorder="1"/>
    <xf numFmtId="0" fontId="4" fillId="0" borderId="94" xfId="39" applyBorder="1"/>
    <xf numFmtId="0" fontId="4" fillId="0" borderId="95" xfId="39" applyBorder="1"/>
    <xf numFmtId="1" fontId="86" fillId="0" borderId="96" xfId="39" applyNumberFormat="1" applyFont="1" applyBorder="1" applyAlignment="1">
      <alignment horizontal="center"/>
    </xf>
    <xf numFmtId="168" fontId="86" fillId="0" borderId="94" xfId="39" applyNumberFormat="1" applyFont="1" applyBorder="1" applyAlignment="1">
      <alignment horizontal="center"/>
    </xf>
    <xf numFmtId="168" fontId="86" fillId="0" borderId="95" xfId="39" applyNumberFormat="1" applyFont="1" applyBorder="1" applyAlignment="1">
      <alignment horizontal="center"/>
    </xf>
    <xf numFmtId="168" fontId="86" fillId="28" borderId="97" xfId="39" applyNumberFormat="1" applyFont="1" applyFill="1" applyBorder="1" applyAlignment="1">
      <alignment horizontal="center"/>
    </xf>
    <xf numFmtId="164" fontId="86" fillId="28" borderId="98" xfId="40" applyNumberFormat="1" applyFont="1" applyFill="1" applyBorder="1" applyAlignment="1">
      <alignment horizontal="center"/>
    </xf>
    <xf numFmtId="168" fontId="86" fillId="28" borderId="95" xfId="39" applyNumberFormat="1" applyFont="1" applyFill="1" applyBorder="1" applyAlignment="1">
      <alignment horizontal="center"/>
    </xf>
    <xf numFmtId="168" fontId="86" fillId="0" borderId="96" xfId="39" applyNumberFormat="1" applyFont="1" applyBorder="1" applyAlignment="1">
      <alignment horizontal="center"/>
    </xf>
    <xf numFmtId="164" fontId="86" fillId="0" borderId="97" xfId="39" applyNumberFormat="1" applyFont="1" applyBorder="1" applyAlignment="1">
      <alignment horizontal="center"/>
    </xf>
    <xf numFmtId="1" fontId="86" fillId="0" borderId="0" xfId="39" applyNumberFormat="1" applyFont="1"/>
    <xf numFmtId="168" fontId="86" fillId="0" borderId="0" xfId="39" applyNumberFormat="1" applyFont="1"/>
    <xf numFmtId="2" fontId="86" fillId="0" borderId="0" xfId="39" applyNumberFormat="1" applyFont="1"/>
    <xf numFmtId="169" fontId="86" fillId="0" borderId="0" xfId="39" applyNumberFormat="1" applyFont="1"/>
    <xf numFmtId="0" fontId="4" fillId="0" borderId="99" xfId="39" applyBorder="1"/>
    <xf numFmtId="1" fontId="87" fillId="0" borderId="96" xfId="39" applyNumberFormat="1" applyFont="1" applyBorder="1" applyAlignment="1">
      <alignment horizontal="center"/>
    </xf>
    <xf numFmtId="169" fontId="86" fillId="0" borderId="94" xfId="39" applyNumberFormat="1" applyFont="1" applyBorder="1" applyAlignment="1">
      <alignment horizontal="center"/>
    </xf>
    <xf numFmtId="169" fontId="86" fillId="0" borderId="98" xfId="39" applyNumberFormat="1" applyFont="1" applyBorder="1" applyAlignment="1">
      <alignment horizontal="center"/>
    </xf>
    <xf numFmtId="169" fontId="86" fillId="28" borderId="97" xfId="39" applyNumberFormat="1" applyFont="1" applyFill="1" applyBorder="1" applyAlignment="1">
      <alignment horizontal="center"/>
    </xf>
    <xf numFmtId="169" fontId="86" fillId="28" borderId="98" xfId="39" applyNumberFormat="1" applyFont="1" applyFill="1" applyBorder="1" applyAlignment="1">
      <alignment horizontal="center"/>
    </xf>
    <xf numFmtId="164" fontId="86" fillId="0" borderId="96" xfId="39" applyNumberFormat="1" applyFont="1" applyBorder="1" applyAlignment="1">
      <alignment horizontal="center"/>
    </xf>
    <xf numFmtId="0" fontId="83" fillId="0" borderId="100" xfId="39" applyFont="1" applyBorder="1" applyAlignment="1">
      <alignment horizontal="left"/>
    </xf>
    <xf numFmtId="0" fontId="83" fillId="0" borderId="98" xfId="39" applyFont="1" applyBorder="1" applyAlignment="1">
      <alignment horizontal="left"/>
    </xf>
    <xf numFmtId="169" fontId="87" fillId="0" borderId="94" xfId="39" applyNumberFormat="1" applyFont="1" applyBorder="1" applyAlignment="1">
      <alignment horizontal="center"/>
    </xf>
    <xf numFmtId="169" fontId="87" fillId="0" borderId="98" xfId="39" applyNumberFormat="1" applyFont="1" applyBorder="1" applyAlignment="1">
      <alignment horizontal="center"/>
    </xf>
    <xf numFmtId="169" fontId="87" fillId="28" borderId="98" xfId="39" applyNumberFormat="1" applyFont="1" applyFill="1" applyBorder="1" applyAlignment="1">
      <alignment horizontal="center"/>
    </xf>
    <xf numFmtId="168" fontId="87" fillId="0" borderId="96" xfId="39" applyNumberFormat="1" applyFont="1" applyBorder="1" applyAlignment="1">
      <alignment horizontal="center"/>
    </xf>
    <xf numFmtId="168" fontId="87" fillId="0" borderId="97" xfId="39" applyNumberFormat="1" applyFont="1" applyBorder="1" applyAlignment="1">
      <alignment horizontal="center"/>
    </xf>
    <xf numFmtId="10" fontId="87" fillId="0" borderId="94" xfId="39" applyNumberFormat="1" applyFont="1" applyBorder="1" applyAlignment="1">
      <alignment horizontal="center"/>
    </xf>
    <xf numFmtId="10" fontId="87" fillId="28" borderId="98" xfId="39" applyNumberFormat="1" applyFont="1" applyFill="1" applyBorder="1" applyAlignment="1">
      <alignment horizontal="center"/>
    </xf>
    <xf numFmtId="169" fontId="87" fillId="0" borderId="103" xfId="39" applyNumberFormat="1" applyFont="1" applyBorder="1" applyAlignment="1">
      <alignment horizontal="center"/>
    </xf>
    <xf numFmtId="169" fontId="87" fillId="28" borderId="102" xfId="39" applyNumberFormat="1" applyFont="1" applyFill="1" applyBorder="1" applyAlignment="1">
      <alignment horizontal="center"/>
    </xf>
    <xf numFmtId="168" fontId="87" fillId="0" borderId="105" xfId="39" applyNumberFormat="1" applyFont="1" applyBorder="1" applyAlignment="1">
      <alignment horizontal="center"/>
    </xf>
    <xf numFmtId="168" fontId="87" fillId="0" borderId="104" xfId="39" applyNumberFormat="1" applyFont="1" applyBorder="1" applyAlignment="1">
      <alignment horizontal="center"/>
    </xf>
    <xf numFmtId="0" fontId="107" fillId="0" borderId="106" xfId="36" applyFont="1" applyBorder="1" applyAlignment="1">
      <alignment horizontal="left" vertical="center" indent="3"/>
    </xf>
    <xf numFmtId="169" fontId="4" fillId="0" borderId="0" xfId="39" applyNumberFormat="1"/>
    <xf numFmtId="0" fontId="105" fillId="16" borderId="108" xfId="39" applyFont="1" applyFill="1" applyBorder="1"/>
    <xf numFmtId="0" fontId="4" fillId="16" borderId="95" xfId="39" applyFill="1" applyBorder="1"/>
    <xf numFmtId="0" fontId="6" fillId="16" borderId="96" xfId="39" applyFont="1" applyFill="1" applyBorder="1" applyAlignment="1">
      <alignment horizontal="center"/>
    </xf>
    <xf numFmtId="10" fontId="86" fillId="16" borderId="100" xfId="39" applyNumberFormat="1" applyFont="1" applyFill="1" applyBorder="1" applyAlignment="1">
      <alignment horizontal="center"/>
    </xf>
    <xf numFmtId="10" fontId="86" fillId="16" borderId="109" xfId="39" applyNumberFormat="1" applyFont="1" applyFill="1" applyBorder="1" applyAlignment="1">
      <alignment horizontal="center"/>
    </xf>
    <xf numFmtId="10" fontId="86" fillId="0" borderId="0" xfId="39" applyNumberFormat="1" applyFont="1"/>
    <xf numFmtId="0" fontId="4" fillId="0" borderId="109" xfId="39" applyBorder="1"/>
    <xf numFmtId="0" fontId="6" fillId="0" borderId="96" xfId="39" applyFont="1" applyBorder="1" applyAlignment="1">
      <alignment horizontal="center"/>
    </xf>
    <xf numFmtId="168" fontId="86" fillId="28" borderId="96" xfId="39" applyNumberFormat="1" applyFont="1" applyFill="1" applyBorder="1" applyAlignment="1">
      <alignment horizontal="center"/>
    </xf>
    <xf numFmtId="169" fontId="87" fillId="28" borderId="96" xfId="39" applyNumberFormat="1" applyFont="1" applyFill="1" applyBorder="1" applyAlignment="1">
      <alignment horizontal="center"/>
    </xf>
    <xf numFmtId="2" fontId="102" fillId="0" borderId="10" xfId="39" applyNumberFormat="1" applyFont="1" applyBorder="1" applyAlignment="1">
      <alignment horizontal="center"/>
    </xf>
    <xf numFmtId="0" fontId="104" fillId="28" borderId="66" xfId="39" applyFont="1" applyFill="1" applyBorder="1" applyAlignment="1">
      <alignment horizontal="center"/>
    </xf>
    <xf numFmtId="2" fontId="4" fillId="16" borderId="110" xfId="39" applyNumberFormat="1" applyFill="1" applyBorder="1" applyAlignment="1">
      <alignment horizontal="center"/>
    </xf>
    <xf numFmtId="164" fontId="86" fillId="28" borderId="111" xfId="40" applyNumberFormat="1" applyFont="1" applyFill="1" applyBorder="1" applyAlignment="1">
      <alignment horizontal="center"/>
    </xf>
    <xf numFmtId="169" fontId="87" fillId="28" borderId="111" xfId="39" applyNumberFormat="1" applyFont="1" applyFill="1" applyBorder="1" applyAlignment="1">
      <alignment horizontal="center"/>
    </xf>
    <xf numFmtId="168" fontId="6" fillId="16" borderId="111" xfId="39" applyNumberFormat="1" applyFont="1" applyFill="1" applyBorder="1" applyAlignment="1">
      <alignment horizontal="center"/>
    </xf>
    <xf numFmtId="2" fontId="102" fillId="0" borderId="87" xfId="39" applyNumberFormat="1" applyFont="1" applyBorder="1" applyAlignment="1">
      <alignment horizontal="center"/>
    </xf>
    <xf numFmtId="164" fontId="87" fillId="0" borderId="94" xfId="1" applyNumberFormat="1" applyFont="1" applyBorder="1" applyAlignment="1">
      <alignment horizontal="center"/>
    </xf>
    <xf numFmtId="164" fontId="87" fillId="0" borderId="98" xfId="1" applyNumberFormat="1" applyFont="1" applyBorder="1" applyAlignment="1">
      <alignment horizontal="center"/>
    </xf>
    <xf numFmtId="164" fontId="87" fillId="28" borderId="97" xfId="1" applyNumberFormat="1" applyFont="1" applyFill="1" applyBorder="1" applyAlignment="1">
      <alignment horizontal="center"/>
    </xf>
    <xf numFmtId="0" fontId="101" fillId="0" borderId="82" xfId="39" applyFont="1" applyBorder="1"/>
    <xf numFmtId="0" fontId="101" fillId="0" borderId="2" xfId="39" applyFont="1" applyBorder="1"/>
    <xf numFmtId="0" fontId="102" fillId="0" borderId="2" xfId="39" applyFont="1" applyBorder="1" applyAlignment="1">
      <alignment horizontal="center"/>
    </xf>
    <xf numFmtId="2" fontId="102" fillId="0" borderId="82" xfId="39" applyNumberFormat="1" applyFont="1" applyBorder="1" applyAlignment="1">
      <alignment horizontal="center"/>
    </xf>
    <xf numFmtId="2" fontId="102" fillId="0" borderId="2" xfId="39" applyNumberFormat="1" applyFont="1" applyBorder="1" applyAlignment="1">
      <alignment horizontal="center"/>
    </xf>
    <xf numFmtId="2" fontId="102" fillId="0" borderId="79" xfId="39" applyNumberFormat="1" applyFont="1" applyBorder="1" applyAlignment="1">
      <alignment horizontal="center"/>
    </xf>
    <xf numFmtId="2" fontId="103" fillId="27" borderId="82" xfId="39" applyNumberFormat="1" applyFont="1" applyFill="1" applyBorder="1" applyAlignment="1">
      <alignment horizontal="center"/>
    </xf>
    <xf numFmtId="0" fontId="104" fillId="28" borderId="2" xfId="39" applyFont="1" applyFill="1" applyBorder="1" applyAlignment="1">
      <alignment horizontal="center"/>
    </xf>
    <xf numFmtId="2" fontId="102" fillId="0" borderId="39" xfId="39" applyNumberFormat="1" applyFont="1" applyBorder="1" applyAlignment="1">
      <alignment horizontal="center"/>
    </xf>
    <xf numFmtId="0" fontId="104" fillId="0" borderId="2" xfId="39" applyFont="1" applyBorder="1" applyAlignment="1">
      <alignment horizontal="center"/>
    </xf>
    <xf numFmtId="0" fontId="104" fillId="0" borderId="79" xfId="39" applyFont="1" applyBorder="1" applyAlignment="1">
      <alignment horizontal="center"/>
    </xf>
    <xf numFmtId="0" fontId="4" fillId="0" borderId="114" xfId="39" applyBorder="1"/>
    <xf numFmtId="0" fontId="4" fillId="0" borderId="115" xfId="39" applyBorder="1"/>
    <xf numFmtId="1" fontId="87" fillId="0" borderId="116" xfId="39" applyNumberFormat="1" applyFont="1" applyBorder="1" applyAlignment="1">
      <alignment horizontal="center"/>
    </xf>
    <xf numFmtId="169" fontId="86" fillId="0" borderId="108" xfId="39" applyNumberFormat="1" applyFont="1" applyBorder="1" applyAlignment="1">
      <alignment horizontal="center"/>
    </xf>
    <xf numFmtId="169" fontId="86" fillId="0" borderId="117" xfId="39" applyNumberFormat="1" applyFont="1" applyBorder="1" applyAlignment="1">
      <alignment horizontal="center"/>
    </xf>
    <xf numFmtId="169" fontId="86" fillId="28" borderId="116" xfId="39" applyNumberFormat="1" applyFont="1" applyFill="1" applyBorder="1" applyAlignment="1">
      <alignment horizontal="center"/>
    </xf>
    <xf numFmtId="168" fontId="86" fillId="28" borderId="112" xfId="39" applyNumberFormat="1" applyFont="1" applyFill="1" applyBorder="1" applyAlignment="1">
      <alignment horizontal="center"/>
    </xf>
    <xf numFmtId="169" fontId="86" fillId="28" borderId="117" xfId="39" applyNumberFormat="1" applyFont="1" applyFill="1" applyBorder="1" applyAlignment="1">
      <alignment horizontal="center"/>
    </xf>
    <xf numFmtId="164" fontId="86" fillId="0" borderId="116" xfId="39" applyNumberFormat="1" applyFont="1" applyBorder="1" applyAlignment="1">
      <alignment horizontal="center"/>
    </xf>
    <xf numFmtId="164" fontId="86" fillId="0" borderId="118" xfId="39" applyNumberFormat="1" applyFont="1" applyBorder="1" applyAlignment="1">
      <alignment horizontal="center"/>
    </xf>
    <xf numFmtId="0" fontId="4" fillId="0" borderId="103" xfId="39" applyBorder="1"/>
    <xf numFmtId="0" fontId="4" fillId="0" borderId="119" xfId="39" applyBorder="1"/>
    <xf numFmtId="1" fontId="86" fillId="0" borderId="105" xfId="39" applyNumberFormat="1" applyFont="1" applyBorder="1" applyAlignment="1">
      <alignment horizontal="center"/>
    </xf>
    <xf numFmtId="168" fontId="86" fillId="0" borderId="103" xfId="39" applyNumberFormat="1" applyFont="1" applyBorder="1" applyAlignment="1">
      <alignment horizontal="center"/>
    </xf>
    <xf numFmtId="168" fontId="86" fillId="0" borderId="119" xfId="39" applyNumberFormat="1" applyFont="1" applyBorder="1" applyAlignment="1">
      <alignment horizontal="center"/>
    </xf>
    <xf numFmtId="168" fontId="86" fillId="28" borderId="105" xfId="39" applyNumberFormat="1" applyFont="1" applyFill="1" applyBorder="1" applyAlignment="1">
      <alignment horizontal="center"/>
    </xf>
    <xf numFmtId="164" fontId="86" fillId="28" borderId="120" xfId="40" applyNumberFormat="1" applyFont="1" applyFill="1" applyBorder="1" applyAlignment="1">
      <alignment horizontal="center"/>
    </xf>
    <xf numFmtId="168" fontId="86" fillId="28" borderId="119" xfId="39" applyNumberFormat="1" applyFont="1" applyFill="1" applyBorder="1" applyAlignment="1">
      <alignment horizontal="center"/>
    </xf>
    <xf numFmtId="164" fontId="86" fillId="0" borderId="104" xfId="39" applyNumberFormat="1" applyFont="1" applyBorder="1" applyAlignment="1">
      <alignment horizontal="center"/>
    </xf>
    <xf numFmtId="168" fontId="86" fillId="28" borderId="104" xfId="39" applyNumberFormat="1" applyFont="1" applyFill="1" applyBorder="1" applyAlignment="1">
      <alignment horizontal="center"/>
    </xf>
    <xf numFmtId="168" fontId="87" fillId="0" borderId="107" xfId="39" applyNumberFormat="1" applyFont="1" applyBorder="1" applyAlignment="1">
      <alignment horizontal="center"/>
    </xf>
    <xf numFmtId="0" fontId="5" fillId="0" borderId="0" xfId="39" applyFont="1"/>
    <xf numFmtId="9" fontId="102" fillId="21" borderId="15" xfId="1" applyFont="1" applyFill="1" applyBorder="1" applyAlignment="1">
      <alignment horizontal="center"/>
    </xf>
    <xf numFmtId="0" fontId="82" fillId="29" borderId="100" xfId="39" applyFont="1" applyFill="1" applyBorder="1" applyAlignment="1">
      <alignment horizontal="left"/>
    </xf>
    <xf numFmtId="0" fontId="82" fillId="29" borderId="98" xfId="39" applyFont="1" applyFill="1" applyBorder="1" applyAlignment="1">
      <alignment horizontal="left"/>
    </xf>
    <xf numFmtId="169" fontId="82" fillId="29" borderId="98" xfId="39" applyNumberFormat="1" applyFont="1" applyFill="1" applyBorder="1" applyAlignment="1">
      <alignment horizontal="center"/>
    </xf>
    <xf numFmtId="169" fontId="82" fillId="29" borderId="94" xfId="39" applyNumberFormat="1" applyFont="1" applyFill="1" applyBorder="1" applyAlignment="1">
      <alignment horizontal="center"/>
    </xf>
    <xf numFmtId="168" fontId="82" fillId="29" borderId="98" xfId="39" applyNumberFormat="1" applyFont="1" applyFill="1" applyBorder="1" applyAlignment="1">
      <alignment horizontal="center"/>
    </xf>
    <xf numFmtId="169" fontId="108" fillId="29" borderId="98" xfId="39" applyNumberFormat="1" applyFont="1" applyFill="1" applyBorder="1" applyAlignment="1">
      <alignment horizontal="center"/>
    </xf>
    <xf numFmtId="169" fontId="108" fillId="29" borderId="94" xfId="39" applyNumberFormat="1" applyFont="1" applyFill="1" applyBorder="1" applyAlignment="1">
      <alignment horizontal="center"/>
    </xf>
    <xf numFmtId="168" fontId="108" fillId="29" borderId="98" xfId="39" applyNumberFormat="1" applyFont="1" applyFill="1" applyBorder="1" applyAlignment="1">
      <alignment horizontal="center"/>
    </xf>
    <xf numFmtId="169" fontId="86" fillId="28" borderId="118" xfId="39" applyNumberFormat="1" applyFont="1" applyFill="1" applyBorder="1" applyAlignment="1">
      <alignment horizontal="center"/>
    </xf>
    <xf numFmtId="164" fontId="86" fillId="28" borderId="102" xfId="40" applyNumberFormat="1" applyFont="1" applyFill="1" applyBorder="1" applyAlignment="1">
      <alignment horizontal="center"/>
    </xf>
    <xf numFmtId="168" fontId="86" fillId="28" borderId="121" xfId="39" applyNumberFormat="1" applyFont="1" applyFill="1" applyBorder="1" applyAlignment="1">
      <alignment horizontal="center"/>
    </xf>
    <xf numFmtId="169" fontId="87" fillId="28" borderId="113" xfId="39" applyNumberFormat="1" applyFont="1" applyFill="1" applyBorder="1" applyAlignment="1">
      <alignment horizontal="center"/>
    </xf>
    <xf numFmtId="168" fontId="109" fillId="0" borderId="94" xfId="39" applyNumberFormat="1" applyFont="1" applyBorder="1" applyAlignment="1">
      <alignment horizontal="center"/>
    </xf>
    <xf numFmtId="168" fontId="109" fillId="0" borderId="95" xfId="39" applyNumberFormat="1" applyFont="1" applyBorder="1" applyAlignment="1">
      <alignment horizontal="center"/>
    </xf>
    <xf numFmtId="168" fontId="109" fillId="28" borderId="96" xfId="39" applyNumberFormat="1" applyFont="1" applyFill="1" applyBorder="1" applyAlignment="1">
      <alignment horizontal="center"/>
    </xf>
    <xf numFmtId="168" fontId="109" fillId="0" borderId="103" xfId="39" applyNumberFormat="1" applyFont="1" applyBorder="1" applyAlignment="1">
      <alignment horizontal="center"/>
    </xf>
    <xf numFmtId="168" fontId="109" fillId="0" borderId="119" xfId="39" applyNumberFormat="1" applyFont="1" applyBorder="1" applyAlignment="1">
      <alignment horizontal="center"/>
    </xf>
    <xf numFmtId="168" fontId="109" fillId="28" borderId="105" xfId="39" applyNumberFormat="1" applyFont="1" applyFill="1" applyBorder="1" applyAlignment="1">
      <alignment horizontal="center"/>
    </xf>
    <xf numFmtId="169" fontId="109" fillId="0" borderId="108" xfId="39" applyNumberFormat="1" applyFont="1" applyBorder="1" applyAlignment="1">
      <alignment horizontal="center"/>
    </xf>
    <xf numFmtId="169" fontId="109" fillId="0" borderId="117" xfId="39" applyNumberFormat="1" applyFont="1" applyBorder="1" applyAlignment="1">
      <alignment horizontal="center"/>
    </xf>
    <xf numFmtId="169" fontId="109" fillId="28" borderId="116" xfId="39" applyNumberFormat="1" applyFont="1" applyFill="1" applyBorder="1" applyAlignment="1">
      <alignment horizontal="center"/>
    </xf>
    <xf numFmtId="169" fontId="81" fillId="0" borderId="94" xfId="39" applyNumberFormat="1" applyFont="1" applyBorder="1" applyAlignment="1">
      <alignment horizontal="center"/>
    </xf>
    <xf numFmtId="169" fontId="81" fillId="0" borderId="98" xfId="39" applyNumberFormat="1" applyFont="1" applyBorder="1" applyAlignment="1">
      <alignment horizontal="center"/>
    </xf>
    <xf numFmtId="169" fontId="81" fillId="28" borderId="96" xfId="39" applyNumberFormat="1" applyFont="1" applyFill="1" applyBorder="1" applyAlignment="1">
      <alignment horizontal="center"/>
    </xf>
    <xf numFmtId="169" fontId="81" fillId="29" borderId="98" xfId="39" applyNumberFormat="1" applyFont="1" applyFill="1" applyBorder="1" applyAlignment="1">
      <alignment horizontal="center"/>
    </xf>
    <xf numFmtId="0" fontId="109" fillId="0" borderId="0" xfId="39" applyFont="1"/>
    <xf numFmtId="168" fontId="59" fillId="2" borderId="78" xfId="38" applyNumberFormat="1" applyFont="1" applyFill="1" applyBorder="1" applyAlignment="1">
      <alignment horizontal="center" vertical="top" wrapText="1"/>
    </xf>
    <xf numFmtId="168" fontId="59" fillId="2" borderId="42" xfId="38" applyNumberFormat="1" applyFont="1" applyFill="1" applyBorder="1" applyAlignment="1">
      <alignment horizontal="center" vertical="top" wrapText="1"/>
    </xf>
    <xf numFmtId="0" fontId="95" fillId="23" borderId="78" xfId="36" applyFont="1" applyFill="1" applyBorder="1" applyAlignment="1">
      <alignment horizontal="center" vertical="center"/>
    </xf>
    <xf numFmtId="6" fontId="94" fillId="18" borderId="42" xfId="37" applyNumberFormat="1" applyFont="1" applyFill="1" applyBorder="1" applyAlignment="1">
      <alignment horizontal="center" vertical="center" wrapText="1"/>
    </xf>
    <xf numFmtId="0" fontId="95" fillId="23" borderId="42" xfId="36" applyFont="1" applyFill="1" applyBorder="1" applyAlignment="1">
      <alignment horizontal="center" vertical="center"/>
    </xf>
    <xf numFmtId="9" fontId="94" fillId="0" borderId="42" xfId="37" applyNumberFormat="1" applyFont="1" applyBorder="1" applyAlignment="1">
      <alignment horizontal="center" vertical="center" wrapText="1"/>
    </xf>
    <xf numFmtId="6" fontId="94" fillId="19" borderId="42" xfId="37" applyNumberFormat="1" applyFont="1" applyFill="1" applyBorder="1" applyAlignment="1">
      <alignment horizontal="center" vertical="center" wrapText="1"/>
    </xf>
    <xf numFmtId="9" fontId="94" fillId="2" borderId="42" xfId="37" applyNumberFormat="1" applyFont="1" applyFill="1" applyBorder="1" applyAlignment="1">
      <alignment horizontal="center" vertical="center" wrapText="1"/>
    </xf>
    <xf numFmtId="9" fontId="94" fillId="18" borderId="42" xfId="37" applyNumberFormat="1" applyFont="1" applyFill="1" applyBorder="1" applyAlignment="1">
      <alignment horizontal="center" vertical="center" wrapText="1"/>
    </xf>
    <xf numFmtId="6" fontId="94" fillId="0" borderId="42" xfId="37" applyNumberFormat="1" applyFont="1" applyBorder="1" applyAlignment="1">
      <alignment horizontal="center" vertical="center" wrapText="1"/>
    </xf>
    <xf numFmtId="0" fontId="95" fillId="23" borderId="43" xfId="36" applyFont="1" applyFill="1" applyBorder="1" applyAlignment="1">
      <alignment horizontal="center" vertical="center"/>
    </xf>
    <xf numFmtId="6" fontId="94" fillId="2" borderId="42" xfId="37" applyNumberFormat="1" applyFont="1" applyFill="1" applyBorder="1" applyAlignment="1">
      <alignment horizontal="center" vertical="center" wrapText="1"/>
    </xf>
    <xf numFmtId="168" fontId="6" fillId="28" borderId="96" xfId="39" applyNumberFormat="1" applyFont="1" applyFill="1" applyBorder="1" applyAlignment="1">
      <alignment horizontal="center"/>
    </xf>
    <xf numFmtId="168" fontId="6" fillId="28" borderId="104" xfId="39" applyNumberFormat="1" applyFont="1" applyFill="1" applyBorder="1" applyAlignment="1">
      <alignment horizontal="center"/>
    </xf>
    <xf numFmtId="6" fontId="94" fillId="18" borderId="80" xfId="37" applyNumberFormat="1" applyFont="1" applyFill="1" applyBorder="1" applyAlignment="1">
      <alignment horizontal="center" vertical="center" wrapText="1"/>
    </xf>
    <xf numFmtId="0" fontId="98" fillId="0" borderId="0" xfId="36" applyFont="1" applyAlignment="1">
      <alignment horizontal="center"/>
    </xf>
    <xf numFmtId="10" fontId="98" fillId="0" borderId="0" xfId="36" applyNumberFormat="1" applyFont="1" applyAlignment="1">
      <alignment horizontal="center"/>
    </xf>
    <xf numFmtId="10" fontId="18" fillId="0" borderId="0" xfId="36" applyNumberFormat="1" applyAlignment="1">
      <alignment horizontal="center"/>
    </xf>
    <xf numFmtId="6" fontId="18" fillId="17" borderId="0" xfId="36" applyNumberFormat="1" applyFill="1" applyAlignment="1">
      <alignment horizontal="center"/>
    </xf>
    <xf numFmtId="6" fontId="18" fillId="0" borderId="0" xfId="36" applyNumberFormat="1" applyAlignment="1">
      <alignment horizontal="center"/>
    </xf>
    <xf numFmtId="10" fontId="18" fillId="17" borderId="0" xfId="36" applyNumberFormat="1" applyFill="1" applyAlignment="1">
      <alignment horizontal="center"/>
    </xf>
    <xf numFmtId="0" fontId="18" fillId="17" borderId="0" xfId="36" applyFill="1" applyAlignment="1">
      <alignment horizontal="center"/>
    </xf>
    <xf numFmtId="10" fontId="97" fillId="17" borderId="0" xfId="36" applyNumberFormat="1" applyFont="1" applyFill="1" applyAlignment="1">
      <alignment horizontal="center"/>
    </xf>
    <xf numFmtId="0" fontId="97" fillId="17" borderId="0" xfId="36" applyFont="1" applyFill="1" applyAlignment="1">
      <alignment horizontal="center"/>
    </xf>
    <xf numFmtId="0" fontId="42" fillId="0" borderId="0" xfId="36" applyFont="1" applyAlignment="1">
      <alignment horizontal="center"/>
    </xf>
    <xf numFmtId="10" fontId="42" fillId="0" borderId="0" xfId="5" applyNumberFormat="1" applyFont="1" applyAlignment="1">
      <alignment horizontal="center"/>
    </xf>
    <xf numFmtId="6" fontId="18" fillId="17" borderId="80" xfId="37" applyNumberFormat="1" applyFont="1" applyFill="1" applyBorder="1" applyAlignment="1">
      <alignment horizontal="center" vertical="center" wrapText="1"/>
    </xf>
    <xf numFmtId="0" fontId="98" fillId="17" borderId="0" xfId="36" applyFont="1" applyFill="1"/>
    <xf numFmtId="0" fontId="18" fillId="31" borderId="0" xfId="37" applyFont="1" applyFill="1" applyAlignment="1">
      <alignment horizontal="left" vertical="center"/>
    </xf>
    <xf numFmtId="6" fontId="18" fillId="31" borderId="42" xfId="37" applyNumberFormat="1" applyFont="1" applyFill="1" applyBorder="1" applyAlignment="1">
      <alignment horizontal="center" vertical="center" wrapText="1"/>
    </xf>
    <xf numFmtId="6" fontId="44" fillId="31" borderId="42" xfId="37" applyNumberFormat="1" applyFont="1" applyFill="1" applyBorder="1" applyAlignment="1">
      <alignment horizontal="center" vertical="center" wrapText="1"/>
    </xf>
    <xf numFmtId="6" fontId="18" fillId="31" borderId="43" xfId="37" applyNumberFormat="1" applyFont="1" applyFill="1" applyBorder="1" applyAlignment="1">
      <alignment horizontal="center" vertical="center" wrapText="1"/>
    </xf>
    <xf numFmtId="169" fontId="42" fillId="32" borderId="84" xfId="38" applyNumberFormat="1" applyFont="1" applyFill="1" applyBorder="1" applyAlignment="1">
      <alignment horizontal="center"/>
    </xf>
    <xf numFmtId="169" fontId="18" fillId="32" borderId="84" xfId="38" applyNumberFormat="1" applyFill="1" applyBorder="1" applyAlignment="1">
      <alignment horizontal="center" vertical="top" wrapText="1"/>
    </xf>
    <xf numFmtId="164" fontId="18" fillId="0" borderId="0" xfId="36" applyNumberFormat="1"/>
    <xf numFmtId="164" fontId="42" fillId="25" borderId="69" xfId="5" applyNumberFormat="1" applyFont="1" applyFill="1" applyBorder="1" applyAlignment="1">
      <alignment horizontal="center"/>
    </xf>
    <xf numFmtId="164" fontId="42" fillId="25" borderId="73" xfId="5" applyNumberFormat="1" applyFont="1" applyFill="1" applyBorder="1" applyAlignment="1">
      <alignment horizontal="center"/>
    </xf>
    <xf numFmtId="6" fontId="44" fillId="0" borderId="43" xfId="37" applyNumberFormat="1" applyFont="1" applyBorder="1" applyAlignment="1">
      <alignment horizontal="center" vertical="center" wrapText="1"/>
    </xf>
    <xf numFmtId="6" fontId="94" fillId="2" borderId="43" xfId="37" applyNumberFormat="1" applyFont="1" applyFill="1" applyBorder="1" applyAlignment="1">
      <alignment horizontal="center" vertical="center" wrapText="1"/>
    </xf>
    <xf numFmtId="6" fontId="44" fillId="0" borderId="54" xfId="37" applyNumberFormat="1" applyFont="1" applyBorder="1" applyAlignment="1">
      <alignment horizontal="center" vertical="center" wrapText="1"/>
    </xf>
    <xf numFmtId="6" fontId="44" fillId="2" borderId="43" xfId="37" applyNumberFormat="1" applyFont="1" applyFill="1" applyBorder="1" applyAlignment="1">
      <alignment horizontal="center" vertical="center" wrapText="1"/>
    </xf>
    <xf numFmtId="6" fontId="44" fillId="2" borderId="71" xfId="37" applyNumberFormat="1" applyFont="1" applyFill="1" applyBorder="1" applyAlignment="1">
      <alignment horizontal="center" vertical="center" wrapText="1"/>
    </xf>
    <xf numFmtId="6" fontId="91" fillId="0" borderId="42" xfId="37" applyNumberFormat="1" applyFont="1" applyBorder="1" applyAlignment="1">
      <alignment horizontal="center" vertical="center" wrapText="1"/>
    </xf>
    <xf numFmtId="0" fontId="92" fillId="23" borderId="78" xfId="36" applyFont="1" applyFill="1" applyBorder="1" applyAlignment="1">
      <alignment horizontal="center" vertical="center"/>
    </xf>
    <xf numFmtId="6" fontId="113" fillId="19" borderId="42" xfId="37" applyNumberFormat="1" applyFont="1" applyFill="1" applyBorder="1" applyAlignment="1">
      <alignment horizontal="center" vertical="center" wrapText="1"/>
    </xf>
    <xf numFmtId="6" fontId="91" fillId="19" borderId="42" xfId="37" applyNumberFormat="1" applyFont="1" applyFill="1" applyBorder="1" applyAlignment="1">
      <alignment horizontal="center" vertical="center" wrapText="1"/>
    </xf>
    <xf numFmtId="0" fontId="92" fillId="23" borderId="42" xfId="36" applyFont="1" applyFill="1" applyBorder="1" applyAlignment="1">
      <alignment horizontal="center" vertical="center"/>
    </xf>
    <xf numFmtId="9" fontId="91" fillId="0" borderId="42" xfId="37" applyNumberFormat="1" applyFont="1" applyBorder="1" applyAlignment="1">
      <alignment horizontal="center" vertical="center" wrapText="1"/>
    </xf>
    <xf numFmtId="6" fontId="91" fillId="2" borderId="42" xfId="37" applyNumberFormat="1" applyFont="1" applyFill="1" applyBorder="1" applyAlignment="1">
      <alignment horizontal="center" vertical="center" wrapText="1"/>
    </xf>
    <xf numFmtId="6" fontId="91" fillId="2" borderId="43" xfId="37" applyNumberFormat="1" applyFont="1" applyFill="1" applyBorder="1" applyAlignment="1">
      <alignment horizontal="center" vertical="center" wrapText="1"/>
    </xf>
    <xf numFmtId="168" fontId="114" fillId="2" borderId="78" xfId="38" applyNumberFormat="1" applyFont="1" applyFill="1" applyBorder="1" applyAlignment="1">
      <alignment horizontal="center" vertical="top" wrapText="1"/>
    </xf>
    <xf numFmtId="168" fontId="114" fillId="2" borderId="42" xfId="38" applyNumberFormat="1" applyFont="1" applyFill="1" applyBorder="1" applyAlignment="1">
      <alignment horizontal="center" vertical="top" wrapText="1"/>
    </xf>
    <xf numFmtId="168" fontId="112" fillId="0" borderId="56" xfId="38" applyNumberFormat="1" applyFont="1" applyBorder="1" applyAlignment="1">
      <alignment horizontal="center" vertical="top" wrapText="1"/>
    </xf>
    <xf numFmtId="168" fontId="112" fillId="0" borderId="84" xfId="38" applyNumberFormat="1" applyFont="1" applyBorder="1" applyAlignment="1">
      <alignment horizontal="center" vertical="top" wrapText="1"/>
    </xf>
    <xf numFmtId="6" fontId="95" fillId="33" borderId="40" xfId="36" applyNumberFormat="1" applyFont="1" applyFill="1" applyBorder="1" applyAlignment="1">
      <alignment horizontal="center" vertical="center" wrapText="1"/>
    </xf>
    <xf numFmtId="6" fontId="92" fillId="33" borderId="40" xfId="36" applyNumberFormat="1" applyFont="1" applyFill="1" applyBorder="1" applyAlignment="1">
      <alignment horizontal="center" vertical="center" wrapText="1"/>
    </xf>
    <xf numFmtId="10" fontId="4" fillId="0" borderId="0" xfId="39" applyNumberFormat="1"/>
    <xf numFmtId="0" fontId="1" fillId="0" borderId="0" xfId="0" applyFont="1" applyAlignment="1">
      <alignment horizontal="center" vertical="center"/>
    </xf>
    <xf numFmtId="0" fontId="0" fillId="0" borderId="0" xfId="39" applyFont="1"/>
    <xf numFmtId="0" fontId="115" fillId="16" borderId="95" xfId="39" applyFont="1" applyFill="1" applyBorder="1"/>
    <xf numFmtId="0" fontId="116" fillId="16" borderId="108" xfId="39" applyFont="1" applyFill="1" applyBorder="1"/>
    <xf numFmtId="0" fontId="0" fillId="0" borderId="0" xfId="0" applyAlignment="1">
      <alignment horizontal="left" vertical="top"/>
    </xf>
    <xf numFmtId="0" fontId="117" fillId="0" borderId="0" xfId="0" applyFont="1" applyAlignment="1">
      <alignment horizontal="left" vertical="top" wrapText="1"/>
    </xf>
    <xf numFmtId="0" fontId="117" fillId="35" borderId="122" xfId="0" applyFont="1" applyFill="1" applyBorder="1" applyAlignment="1">
      <alignment horizontal="left" wrapText="1"/>
    </xf>
    <xf numFmtId="0" fontId="117" fillId="0" borderId="0" xfId="0" applyFont="1" applyAlignment="1">
      <alignment horizontal="left" wrapText="1"/>
    </xf>
    <xf numFmtId="0" fontId="118" fillId="0" borderId="122" xfId="0" applyFont="1" applyBorder="1" applyAlignment="1">
      <alignment horizontal="left" vertical="center" wrapText="1"/>
    </xf>
    <xf numFmtId="0" fontId="118" fillId="0" borderId="122" xfId="0" applyFont="1" applyBorder="1" applyAlignment="1">
      <alignment horizontal="left" vertical="center" wrapText="1" indent="2"/>
    </xf>
    <xf numFmtId="0" fontId="119" fillId="0" borderId="122" xfId="0" applyFont="1" applyBorder="1" applyAlignment="1">
      <alignment horizontal="left" vertical="top" wrapText="1"/>
    </xf>
    <xf numFmtId="173" fontId="120" fillId="0" borderId="122" xfId="0" applyNumberFormat="1" applyFont="1" applyBorder="1" applyAlignment="1">
      <alignment horizontal="right" vertical="top" shrinkToFit="1"/>
    </xf>
    <xf numFmtId="174" fontId="121" fillId="34" borderId="122" xfId="0" applyNumberFormat="1" applyFont="1" applyFill="1" applyBorder="1" applyAlignment="1">
      <alignment horizontal="right" vertical="top" shrinkToFit="1"/>
    </xf>
    <xf numFmtId="174" fontId="120" fillId="0" borderId="122" xfId="0" applyNumberFormat="1" applyFont="1" applyBorder="1" applyAlignment="1">
      <alignment horizontal="right" vertical="top" shrinkToFit="1"/>
    </xf>
    <xf numFmtId="0" fontId="122" fillId="0" borderId="122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18" fillId="0" borderId="122" xfId="0" applyFont="1" applyBorder="1" applyAlignment="1">
      <alignment horizontal="center" vertical="top" wrapText="1" indent="2"/>
    </xf>
    <xf numFmtId="0" fontId="118" fillId="34" borderId="122" xfId="0" applyFont="1" applyFill="1" applyBorder="1" applyAlignment="1">
      <alignment horizontal="center" vertical="top" wrapText="1" indent="1"/>
    </xf>
    <xf numFmtId="174" fontId="120" fillId="36" borderId="122" xfId="0" applyNumberFormat="1" applyFont="1" applyFill="1" applyBorder="1" applyAlignment="1">
      <alignment horizontal="right" vertical="top" shrinkToFit="1"/>
    </xf>
    <xf numFmtId="174" fontId="120" fillId="37" borderId="122" xfId="0" applyNumberFormat="1" applyFont="1" applyFill="1" applyBorder="1" applyAlignment="1">
      <alignment horizontal="right" vertical="top" shrinkToFit="1"/>
    </xf>
    <xf numFmtId="174" fontId="120" fillId="2" borderId="122" xfId="0" applyNumberFormat="1" applyFont="1" applyFill="1" applyBorder="1" applyAlignment="1">
      <alignment horizontal="right" vertical="top" shrinkToFit="1"/>
    </xf>
    <xf numFmtId="168" fontId="115" fillId="28" borderId="96" xfId="39" applyNumberFormat="1" applyFont="1" applyFill="1" applyBorder="1" applyAlignment="1">
      <alignment horizontal="center"/>
    </xf>
    <xf numFmtId="168" fontId="115" fillId="28" borderId="104" xfId="39" applyNumberFormat="1" applyFont="1" applyFill="1" applyBorder="1" applyAlignment="1">
      <alignment horizontal="center"/>
    </xf>
    <xf numFmtId="0" fontId="94" fillId="0" borderId="0" xfId="36" applyFont="1" applyAlignment="1">
      <alignment horizontal="center"/>
    </xf>
    <xf numFmtId="0" fontId="59" fillId="0" borderId="0" xfId="38" applyFont="1" applyAlignment="1">
      <alignment horizontal="center" vertical="top" wrapText="1"/>
    </xf>
    <xf numFmtId="0" fontId="59" fillId="0" borderId="0" xfId="36" applyFont="1" applyAlignment="1">
      <alignment horizontal="center"/>
    </xf>
    <xf numFmtId="169" fontId="42" fillId="32" borderId="127" xfId="38" applyNumberFormat="1" applyFont="1" applyFill="1" applyBorder="1" applyAlignment="1">
      <alignment horizontal="center"/>
    </xf>
    <xf numFmtId="0" fontId="87" fillId="0" borderId="122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35" borderId="122" xfId="0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86" fillId="0" borderId="122" xfId="0" applyFont="1" applyBorder="1" applyAlignment="1">
      <alignment horizontal="left" vertical="top" wrapText="1"/>
    </xf>
    <xf numFmtId="173" fontId="115" fillId="0" borderId="122" xfId="0" applyNumberFormat="1" applyFont="1" applyBorder="1" applyAlignment="1">
      <alignment horizontal="right" vertical="top" shrinkToFit="1"/>
    </xf>
    <xf numFmtId="0" fontId="87" fillId="0" borderId="122" xfId="0" applyFont="1" applyBorder="1" applyAlignment="1">
      <alignment horizontal="center" vertical="center" wrapText="1" indent="2"/>
    </xf>
    <xf numFmtId="174" fontId="125" fillId="2" borderId="122" xfId="0" applyNumberFormat="1" applyFont="1" applyFill="1" applyBorder="1" applyAlignment="1">
      <alignment horizontal="right" vertical="top" shrinkToFit="1"/>
    </xf>
    <xf numFmtId="169" fontId="115" fillId="0" borderId="122" xfId="0" applyNumberFormat="1" applyFont="1" applyBorder="1" applyAlignment="1">
      <alignment horizontal="right" vertical="top" shrinkToFit="1"/>
    </xf>
    <xf numFmtId="169" fontId="125" fillId="34" borderId="122" xfId="0" applyNumberFormat="1" applyFont="1" applyFill="1" applyBorder="1" applyAlignment="1">
      <alignment horizontal="right" vertical="top" shrinkToFit="1"/>
    </xf>
    <xf numFmtId="169" fontId="125" fillId="2" borderId="122" xfId="0" applyNumberFormat="1" applyFont="1" applyFill="1" applyBorder="1" applyAlignment="1">
      <alignment horizontal="right" vertical="top" shrinkToFit="1"/>
    </xf>
    <xf numFmtId="0" fontId="87" fillId="37" borderId="122" xfId="0" applyFont="1" applyFill="1" applyBorder="1" applyAlignment="1">
      <alignment horizontal="center" vertical="center" wrapText="1" indent="2"/>
    </xf>
    <xf numFmtId="0" fontId="122" fillId="37" borderId="122" xfId="0" applyFont="1" applyFill="1" applyBorder="1" applyAlignment="1">
      <alignment horizontal="center" vertical="center" wrapText="1" indent="2"/>
    </xf>
    <xf numFmtId="169" fontId="115" fillId="2" borderId="122" xfId="0" applyNumberFormat="1" applyFont="1" applyFill="1" applyBorder="1" applyAlignment="1">
      <alignment horizontal="right" vertical="top" shrinkToFit="1"/>
    </xf>
    <xf numFmtId="0" fontId="122" fillId="38" borderId="122" xfId="0" applyFont="1" applyFill="1" applyBorder="1" applyAlignment="1">
      <alignment horizontal="center" vertical="center" wrapText="1" indent="2"/>
    </xf>
    <xf numFmtId="174" fontId="115" fillId="2" borderId="122" xfId="0" applyNumberFormat="1" applyFont="1" applyFill="1" applyBorder="1" applyAlignment="1">
      <alignment horizontal="right" vertical="top" shrinkToFit="1"/>
    </xf>
    <xf numFmtId="0" fontId="86" fillId="2" borderId="122" xfId="0" applyFont="1" applyFill="1" applyBorder="1" applyAlignment="1">
      <alignment horizontal="left" vertical="top" wrapText="1"/>
    </xf>
    <xf numFmtId="173" fontId="115" fillId="2" borderId="122" xfId="0" applyNumberFormat="1" applyFont="1" applyFill="1" applyBorder="1" applyAlignment="1">
      <alignment horizontal="right" vertical="top" shrinkToFit="1"/>
    </xf>
    <xf numFmtId="169" fontId="86" fillId="0" borderId="122" xfId="0" applyNumberFormat="1" applyFont="1" applyBorder="1" applyAlignment="1">
      <alignment horizontal="left" vertical="top" wrapText="1"/>
    </xf>
    <xf numFmtId="169" fontId="0" fillId="35" borderId="122" xfId="0" applyNumberFormat="1" applyFill="1" applyBorder="1" applyAlignment="1">
      <alignment horizontal="left" wrapText="1"/>
    </xf>
    <xf numFmtId="0" fontId="83" fillId="39" borderId="122" xfId="0" applyFont="1" applyFill="1" applyBorder="1" applyAlignment="1">
      <alignment horizontal="left" vertical="top"/>
    </xf>
    <xf numFmtId="0" fontId="0" fillId="40" borderId="0" xfId="0" applyFill="1" applyAlignment="1">
      <alignment horizontal="left" wrapText="1"/>
    </xf>
    <xf numFmtId="0" fontId="126" fillId="0" borderId="122" xfId="0" applyFont="1" applyBorder="1" applyAlignment="1">
      <alignment horizontal="center" vertical="center" wrapText="1" indent="2"/>
    </xf>
    <xf numFmtId="169" fontId="83" fillId="39" borderId="122" xfId="0" applyNumberFormat="1" applyFont="1" applyFill="1" applyBorder="1" applyAlignment="1">
      <alignment horizontal="right" vertical="top"/>
    </xf>
    <xf numFmtId="169" fontId="125" fillId="39" borderId="122" xfId="0" applyNumberFormat="1" applyFont="1" applyFill="1" applyBorder="1" applyAlignment="1">
      <alignment horizontal="right" vertical="top" shrinkToFit="1"/>
    </xf>
    <xf numFmtId="6" fontId="18" fillId="0" borderId="63" xfId="37" applyNumberFormat="1" applyFont="1" applyBorder="1" applyAlignment="1">
      <alignment horizontal="center" vertical="center" wrapText="1"/>
    </xf>
    <xf numFmtId="6" fontId="42" fillId="33" borderId="40" xfId="36" applyNumberFormat="1" applyFont="1" applyFill="1" applyBorder="1" applyAlignment="1">
      <alignment horizontal="center" vertical="center" wrapText="1"/>
    </xf>
    <xf numFmtId="0" fontId="18" fillId="0" borderId="76" xfId="37" applyFont="1" applyBorder="1" applyAlignment="1">
      <alignment vertical="center" wrapText="1"/>
    </xf>
    <xf numFmtId="6" fontId="18" fillId="19" borderId="42" xfId="37" applyNumberFormat="1" applyFont="1" applyFill="1" applyBorder="1" applyAlignment="1">
      <alignment horizontal="center" vertical="center" wrapText="1"/>
    </xf>
    <xf numFmtId="0" fontId="18" fillId="0" borderId="76" xfId="37" applyFont="1" applyBorder="1" applyAlignment="1">
      <alignment horizontal="right" vertical="center" wrapText="1"/>
    </xf>
    <xf numFmtId="9" fontId="18" fillId="0" borderId="42" xfId="37" applyNumberFormat="1" applyFont="1" applyBorder="1" applyAlignment="1">
      <alignment horizontal="center" vertical="center" wrapText="1"/>
    </xf>
    <xf numFmtId="9" fontId="18" fillId="18" borderId="42" xfId="37" applyNumberFormat="1" applyFont="1" applyFill="1" applyBorder="1" applyAlignment="1">
      <alignment horizontal="center" vertical="center" wrapText="1"/>
    </xf>
    <xf numFmtId="0" fontId="18" fillId="0" borderId="84" xfId="37" applyFont="1" applyBorder="1" applyAlignment="1">
      <alignment horizontal="right" vertical="center" wrapText="1"/>
    </xf>
    <xf numFmtId="0" fontId="18" fillId="0" borderId="53" xfId="37" applyFont="1" applyBorder="1" applyAlignment="1">
      <alignment horizontal="right" vertical="center" wrapText="1"/>
    </xf>
    <xf numFmtId="6" fontId="18" fillId="0" borderId="43" xfId="37" applyNumberFormat="1" applyFont="1" applyBorder="1" applyAlignment="1">
      <alignment horizontal="center" vertical="center" wrapText="1"/>
    </xf>
    <xf numFmtId="6" fontId="18" fillId="2" borderId="43" xfId="37" applyNumberFormat="1" applyFont="1" applyFill="1" applyBorder="1" applyAlignment="1">
      <alignment horizontal="center" vertical="center" wrapText="1"/>
    </xf>
    <xf numFmtId="6" fontId="18" fillId="0" borderId="54" xfId="37" applyNumberFormat="1" applyFont="1" applyBorder="1" applyAlignment="1">
      <alignment horizontal="center" vertical="center" wrapText="1"/>
    </xf>
    <xf numFmtId="0" fontId="18" fillId="0" borderId="43" xfId="37" applyFont="1" applyBorder="1" applyAlignment="1">
      <alignment horizontal="right" vertical="center" wrapText="1"/>
    </xf>
    <xf numFmtId="0" fontId="18" fillId="0" borderId="54" xfId="37" applyFont="1" applyBorder="1" applyAlignment="1">
      <alignment horizontal="right" vertical="center" wrapText="1"/>
    </xf>
    <xf numFmtId="1" fontId="58" fillId="0" borderId="78" xfId="38" applyNumberFormat="1" applyFont="1" applyBorder="1" applyAlignment="1">
      <alignment horizontal="center" vertical="top" wrapText="1"/>
    </xf>
    <xf numFmtId="168" fontId="18" fillId="0" borderId="56" xfId="38" applyNumberFormat="1" applyBorder="1" applyAlignment="1">
      <alignment horizontal="center" vertical="center" wrapText="1"/>
    </xf>
    <xf numFmtId="168" fontId="58" fillId="2" borderId="78" xfId="38" applyNumberFormat="1" applyFont="1" applyFill="1" applyBorder="1" applyAlignment="1">
      <alignment horizontal="center" vertical="top" wrapText="1"/>
    </xf>
    <xf numFmtId="168" fontId="18" fillId="0" borderId="57" xfId="38" applyNumberFormat="1" applyBorder="1" applyAlignment="1">
      <alignment horizontal="center" wrapText="1"/>
    </xf>
    <xf numFmtId="168" fontId="18" fillId="0" borderId="56" xfId="38" applyNumberFormat="1" applyBorder="1" applyAlignment="1">
      <alignment horizontal="center" wrapText="1"/>
    </xf>
    <xf numFmtId="168" fontId="18" fillId="0" borderId="84" xfId="38" applyNumberFormat="1" applyBorder="1" applyAlignment="1">
      <alignment horizontal="center" vertical="center" wrapText="1"/>
    </xf>
    <xf numFmtId="168" fontId="18" fillId="0" borderId="62" xfId="38" applyNumberFormat="1" applyBorder="1" applyAlignment="1">
      <alignment horizontal="center" wrapText="1"/>
    </xf>
    <xf numFmtId="169" fontId="18" fillId="0" borderId="62" xfId="38" applyNumberFormat="1" applyBorder="1" applyAlignment="1">
      <alignment horizontal="center" vertical="center" wrapText="1"/>
    </xf>
    <xf numFmtId="169" fontId="18" fillId="0" borderId="84" xfId="38" applyNumberFormat="1" applyBorder="1" applyAlignment="1">
      <alignment horizontal="center" vertical="center" wrapText="1"/>
    </xf>
    <xf numFmtId="169" fontId="18" fillId="0" borderId="127" xfId="38" applyNumberFormat="1" applyBorder="1" applyAlignment="1">
      <alignment horizontal="center" vertical="top" wrapText="1"/>
    </xf>
    <xf numFmtId="169" fontId="18" fillId="0" borderId="128" xfId="38" applyNumberFormat="1" applyBorder="1" applyAlignment="1">
      <alignment horizontal="center" vertical="top" wrapText="1"/>
    </xf>
    <xf numFmtId="169" fontId="18" fillId="32" borderId="128" xfId="38" applyNumberFormat="1" applyFill="1" applyBorder="1" applyAlignment="1">
      <alignment horizontal="center" vertical="top" wrapText="1"/>
    </xf>
    <xf numFmtId="165" fontId="11" fillId="2" borderId="0" xfId="3" applyFont="1" applyFill="1" applyAlignment="1">
      <alignment horizontal="left"/>
    </xf>
    <xf numFmtId="165" fontId="15" fillId="2" borderId="0" xfId="3" applyFont="1" applyFill="1" applyAlignment="1">
      <alignment horizontal="left" wrapText="1"/>
    </xf>
    <xf numFmtId="165" fontId="14" fillId="2" borderId="0" xfId="3" applyFont="1" applyFill="1" applyAlignment="1">
      <alignment horizontal="center"/>
    </xf>
    <xf numFmtId="169" fontId="64" fillId="8" borderId="2" xfId="0" applyNumberFormat="1" applyFont="1" applyFill="1" applyBorder="1" applyAlignment="1">
      <alignment horizontal="left"/>
    </xf>
    <xf numFmtId="3" fontId="9" fillId="0" borderId="2" xfId="13" applyNumberFormat="1" applyFont="1" applyBorder="1" applyAlignment="1">
      <alignment horizontal="center" vertical="center"/>
    </xf>
    <xf numFmtId="0" fontId="79" fillId="8" borderId="45" xfId="13" applyFont="1" applyFill="1" applyBorder="1" applyAlignment="1">
      <alignment horizontal="center" vertical="center" wrapText="1"/>
    </xf>
    <xf numFmtId="0" fontId="79" fillId="8" borderId="59" xfId="13" applyFont="1" applyFill="1" applyBorder="1" applyAlignment="1">
      <alignment horizontal="center" vertical="center" wrapText="1"/>
    </xf>
    <xf numFmtId="0" fontId="0" fillId="11" borderId="0" xfId="0" applyFill="1" applyAlignment="1">
      <alignment horizontal="left" vertical="top" wrapText="1"/>
    </xf>
    <xf numFmtId="0" fontId="0" fillId="0" borderId="0" xfId="0"/>
    <xf numFmtId="0" fontId="0" fillId="0" borderId="0" xfId="0" applyAlignment="1">
      <alignment wrapText="1"/>
    </xf>
    <xf numFmtId="171" fontId="18" fillId="0" borderId="5" xfId="0" applyNumberFormat="1" applyFont="1" applyBorder="1" applyAlignment="1">
      <alignment horizontal="right" textRotation="255"/>
    </xf>
    <xf numFmtId="1" fontId="49" fillId="6" borderId="0" xfId="17" applyNumberFormat="1" applyFont="1" applyFill="1" applyAlignment="1">
      <alignment horizontal="left" vertical="center"/>
    </xf>
    <xf numFmtId="1" fontId="36" fillId="6" borderId="0" xfId="17" applyNumberFormat="1" applyFont="1" applyFill="1" applyAlignment="1">
      <alignment horizontal="left"/>
    </xf>
    <xf numFmtId="0" fontId="78" fillId="0" borderId="0" xfId="0" applyFont="1" applyAlignment="1">
      <alignment horizontal="center"/>
    </xf>
    <xf numFmtId="5" fontId="84" fillId="0" borderId="0" xfId="17" applyNumberFormat="1" applyFont="1" applyAlignment="1">
      <alignment horizontal="left"/>
    </xf>
    <xf numFmtId="1" fontId="85" fillId="0" borderId="30" xfId="17" applyNumberFormat="1" applyFont="1" applyBorder="1" applyAlignment="1">
      <alignment horizontal="center"/>
    </xf>
    <xf numFmtId="6" fontId="42" fillId="33" borderId="39" xfId="36" applyNumberFormat="1" applyFont="1" applyFill="1" applyBorder="1" applyAlignment="1">
      <alignment horizontal="center" vertical="center" wrapText="1"/>
    </xf>
    <xf numFmtId="6" fontId="42" fillId="33" borderId="14" xfId="36" applyNumberFormat="1" applyFont="1" applyFill="1" applyBorder="1" applyAlignment="1">
      <alignment horizontal="center" vertical="center" wrapText="1"/>
    </xf>
    <xf numFmtId="6" fontId="42" fillId="22" borderId="39" xfId="36" applyNumberFormat="1" applyFont="1" applyFill="1" applyBorder="1" applyAlignment="1">
      <alignment horizontal="center" wrapText="1"/>
    </xf>
    <xf numFmtId="6" fontId="42" fillId="22" borderId="14" xfId="36" applyNumberFormat="1" applyFont="1" applyFill="1" applyBorder="1" applyAlignment="1">
      <alignment horizontal="center" wrapText="1"/>
    </xf>
    <xf numFmtId="0" fontId="42" fillId="23" borderId="83" xfId="36" applyFont="1" applyFill="1" applyBorder="1" applyAlignment="1">
      <alignment horizontal="center" vertical="center"/>
    </xf>
    <xf numFmtId="0" fontId="42" fillId="23" borderId="56" xfId="36" applyFont="1" applyFill="1" applyBorder="1" applyAlignment="1">
      <alignment horizontal="center" vertical="center"/>
    </xf>
    <xf numFmtId="0" fontId="42" fillId="23" borderId="82" xfId="36" applyFont="1" applyFill="1" applyBorder="1" applyAlignment="1">
      <alignment horizontal="center" vertical="center"/>
    </xf>
    <xf numFmtId="0" fontId="42" fillId="23" borderId="2" xfId="36" applyFont="1" applyFill="1" applyBorder="1" applyAlignment="1">
      <alignment horizontal="center" vertical="center"/>
    </xf>
    <xf numFmtId="6" fontId="44" fillId="2" borderId="65" xfId="37" applyNumberFormat="1" applyFont="1" applyFill="1" applyBorder="1" applyAlignment="1">
      <alignment horizontal="center" vertical="center" wrapText="1"/>
    </xf>
    <xf numFmtId="6" fontId="44" fillId="2" borderId="84" xfId="37" applyNumberFormat="1" applyFont="1" applyFill="1" applyBorder="1" applyAlignment="1">
      <alignment horizontal="center" vertical="center" wrapText="1"/>
    </xf>
    <xf numFmtId="6" fontId="18" fillId="2" borderId="76" xfId="37" applyNumberFormat="1" applyFont="1" applyFill="1" applyBorder="1" applyAlignment="1">
      <alignment horizontal="center" vertical="center" wrapText="1"/>
    </xf>
    <xf numFmtId="6" fontId="18" fillId="2" borderId="63" xfId="37" applyNumberFormat="1" applyFont="1" applyFill="1" applyBorder="1" applyAlignment="1">
      <alignment horizontal="center" vertical="center" wrapText="1"/>
    </xf>
    <xf numFmtId="0" fontId="42" fillId="23" borderId="65" xfId="36" applyFont="1" applyFill="1" applyBorder="1" applyAlignment="1">
      <alignment horizontal="center" vertical="center"/>
    </xf>
    <xf numFmtId="0" fontId="42" fillId="23" borderId="84" xfId="36" applyFont="1" applyFill="1" applyBorder="1" applyAlignment="1">
      <alignment horizontal="center" vertical="center"/>
    </xf>
    <xf numFmtId="0" fontId="42" fillId="23" borderId="76" xfId="36" applyFont="1" applyFill="1" applyBorder="1" applyAlignment="1">
      <alignment horizontal="center" vertical="center"/>
    </xf>
    <xf numFmtId="0" fontId="42" fillId="23" borderId="63" xfId="36" applyFont="1" applyFill="1" applyBorder="1" applyAlignment="1">
      <alignment horizontal="center" vertical="center"/>
    </xf>
    <xf numFmtId="6" fontId="44" fillId="0" borderId="65" xfId="37" applyNumberFormat="1" applyFont="1" applyBorder="1" applyAlignment="1">
      <alignment horizontal="center" vertical="center" wrapText="1"/>
    </xf>
    <xf numFmtId="6" fontId="44" fillId="0" borderId="84" xfId="37" applyNumberFormat="1" applyFont="1" applyBorder="1" applyAlignment="1">
      <alignment horizontal="center" vertical="center" wrapText="1"/>
    </xf>
    <xf numFmtId="9" fontId="44" fillId="0" borderId="65" xfId="37" applyNumberFormat="1" applyFont="1" applyBorder="1" applyAlignment="1">
      <alignment horizontal="center" vertical="center" wrapText="1"/>
    </xf>
    <xf numFmtId="9" fontId="44" fillId="0" borderId="84" xfId="37" applyNumberFormat="1" applyFont="1" applyBorder="1" applyAlignment="1">
      <alignment horizontal="center" vertical="center" wrapText="1"/>
    </xf>
    <xf numFmtId="6" fontId="18" fillId="0" borderId="76" xfId="37" applyNumberFormat="1" applyFont="1" applyBorder="1" applyAlignment="1">
      <alignment horizontal="center" vertical="center" wrapText="1"/>
    </xf>
    <xf numFmtId="6" fontId="18" fillId="0" borderId="63" xfId="37" applyNumberFormat="1" applyFont="1" applyBorder="1" applyAlignment="1">
      <alignment horizontal="center" vertical="center" wrapText="1"/>
    </xf>
    <xf numFmtId="6" fontId="44" fillId="2" borderId="76" xfId="37" applyNumberFormat="1" applyFont="1" applyFill="1" applyBorder="1" applyAlignment="1">
      <alignment horizontal="center" vertical="center" wrapText="1"/>
    </xf>
    <xf numFmtId="6" fontId="44" fillId="2" borderId="63" xfId="37" applyNumberFormat="1" applyFont="1" applyFill="1" applyBorder="1" applyAlignment="1">
      <alignment horizontal="center" vertical="center" wrapText="1"/>
    </xf>
    <xf numFmtId="9" fontId="44" fillId="2" borderId="65" xfId="37" applyNumberFormat="1" applyFont="1" applyFill="1" applyBorder="1" applyAlignment="1">
      <alignment horizontal="center" vertical="center" wrapText="1"/>
    </xf>
    <xf numFmtId="9" fontId="44" fillId="2" borderId="84" xfId="37" applyNumberFormat="1" applyFont="1" applyFill="1" applyBorder="1" applyAlignment="1">
      <alignment horizontal="center" vertical="center" wrapText="1"/>
    </xf>
    <xf numFmtId="9" fontId="44" fillId="2" borderId="76" xfId="37" applyNumberFormat="1" applyFont="1" applyFill="1" applyBorder="1" applyAlignment="1">
      <alignment horizontal="center" vertical="center" wrapText="1"/>
    </xf>
    <xf numFmtId="9" fontId="44" fillId="2" borderId="63" xfId="37" applyNumberFormat="1" applyFont="1" applyFill="1" applyBorder="1" applyAlignment="1">
      <alignment horizontal="center" vertical="center" wrapText="1"/>
    </xf>
    <xf numFmtId="9" fontId="18" fillId="2" borderId="76" xfId="37" applyNumberFormat="1" applyFont="1" applyFill="1" applyBorder="1" applyAlignment="1">
      <alignment horizontal="center" vertical="center" wrapText="1"/>
    </xf>
    <xf numFmtId="9" fontId="18" fillId="2" borderId="63" xfId="37" applyNumberFormat="1" applyFont="1" applyFill="1" applyBorder="1" applyAlignment="1">
      <alignment horizontal="center" vertical="center" wrapText="1"/>
    </xf>
    <xf numFmtId="9" fontId="44" fillId="0" borderId="76" xfId="37" applyNumberFormat="1" applyFont="1" applyBorder="1" applyAlignment="1">
      <alignment horizontal="center" vertical="center" wrapText="1"/>
    </xf>
    <xf numFmtId="9" fontId="44" fillId="0" borderId="63" xfId="37" applyNumberFormat="1" applyFont="1" applyBorder="1" applyAlignment="1">
      <alignment horizontal="center" vertical="center" wrapText="1"/>
    </xf>
    <xf numFmtId="6" fontId="44" fillId="0" borderId="76" xfId="37" applyNumberFormat="1" applyFont="1" applyBorder="1" applyAlignment="1">
      <alignment horizontal="center" vertical="center" wrapText="1"/>
    </xf>
    <xf numFmtId="6" fontId="44" fillId="0" borderId="63" xfId="37" applyNumberFormat="1" applyFont="1" applyBorder="1" applyAlignment="1">
      <alignment horizontal="center" vertical="center" wrapText="1"/>
    </xf>
    <xf numFmtId="0" fontId="42" fillId="23" borderId="75" xfId="36" applyFont="1" applyFill="1" applyBorder="1" applyAlignment="1">
      <alignment horizontal="center" vertical="center"/>
    </xf>
    <xf numFmtId="0" fontId="42" fillId="23" borderId="53" xfId="36" applyFont="1" applyFill="1" applyBorder="1" applyAlignment="1">
      <alignment horizontal="center" vertical="center"/>
    </xf>
    <xf numFmtId="0" fontId="18" fillId="0" borderId="75" xfId="37" applyFont="1" applyBorder="1" applyAlignment="1">
      <alignment horizontal="center" vertical="center" wrapText="1"/>
    </xf>
    <xf numFmtId="0" fontId="18" fillId="0" borderId="53" xfId="37" applyFont="1" applyBorder="1" applyAlignment="1">
      <alignment horizontal="center" vertical="center" wrapText="1"/>
    </xf>
    <xf numFmtId="0" fontId="18" fillId="0" borderId="70" xfId="37" applyFont="1" applyBorder="1" applyAlignment="1">
      <alignment horizontal="center" vertical="center" wrapText="1"/>
    </xf>
    <xf numFmtId="0" fontId="18" fillId="0" borderId="54" xfId="37" applyFont="1" applyBorder="1" applyAlignment="1">
      <alignment horizontal="center" vertical="center" wrapText="1"/>
    </xf>
    <xf numFmtId="6" fontId="111" fillId="2" borderId="76" xfId="37" applyNumberFormat="1" applyFont="1" applyFill="1" applyBorder="1" applyAlignment="1">
      <alignment horizontal="center" vertical="center" wrapText="1"/>
    </xf>
    <xf numFmtId="6" fontId="111" fillId="2" borderId="80" xfId="37" applyNumberFormat="1" applyFont="1" applyFill="1" applyBorder="1" applyAlignment="1">
      <alignment horizontal="center" vertical="center" wrapText="1"/>
    </xf>
    <xf numFmtId="6" fontId="18" fillId="2" borderId="80" xfId="37" applyNumberFormat="1" applyFont="1" applyFill="1" applyBorder="1" applyAlignment="1">
      <alignment horizontal="center" vertical="center" wrapText="1"/>
    </xf>
    <xf numFmtId="9" fontId="18" fillId="0" borderId="76" xfId="37" applyNumberFormat="1" applyFont="1" applyBorder="1" applyAlignment="1">
      <alignment horizontal="center" vertical="center" wrapText="1"/>
    </xf>
    <xf numFmtId="6" fontId="18" fillId="0" borderId="65" xfId="37" applyNumberFormat="1" applyFont="1" applyBorder="1" applyAlignment="1">
      <alignment horizontal="center" vertical="center" wrapText="1"/>
    </xf>
    <xf numFmtId="6" fontId="18" fillId="0" borderId="84" xfId="37" applyNumberFormat="1" applyFont="1" applyBorder="1" applyAlignment="1">
      <alignment horizontal="center" vertical="center" wrapText="1"/>
    </xf>
    <xf numFmtId="6" fontId="18" fillId="2" borderId="65" xfId="37" applyNumberFormat="1" applyFont="1" applyFill="1" applyBorder="1" applyAlignment="1">
      <alignment horizontal="center" vertical="center" wrapText="1"/>
    </xf>
    <xf numFmtId="6" fontId="18" fillId="2" borderId="84" xfId="37" applyNumberFormat="1" applyFont="1" applyFill="1" applyBorder="1" applyAlignment="1">
      <alignment horizontal="center" vertical="center" wrapText="1"/>
    </xf>
    <xf numFmtId="9" fontId="18" fillId="0" borderId="65" xfId="37" applyNumberFormat="1" applyFont="1" applyBorder="1" applyAlignment="1">
      <alignment horizontal="center" vertical="center" wrapText="1"/>
    </xf>
    <xf numFmtId="9" fontId="18" fillId="0" borderId="63" xfId="37" applyNumberFormat="1" applyFont="1" applyBorder="1" applyAlignment="1">
      <alignment horizontal="center" vertical="center" wrapText="1"/>
    </xf>
    <xf numFmtId="9" fontId="18" fillId="0" borderId="84" xfId="37" applyNumberFormat="1" applyFont="1" applyBorder="1" applyAlignment="1">
      <alignment horizontal="center" vertical="center" wrapText="1"/>
    </xf>
    <xf numFmtId="6" fontId="42" fillId="21" borderId="14" xfId="36" applyNumberFormat="1" applyFont="1" applyFill="1" applyBorder="1" applyAlignment="1">
      <alignment horizontal="center" vertical="center" wrapText="1"/>
    </xf>
    <xf numFmtId="0" fontId="42" fillId="23" borderId="57" xfId="36" applyFont="1" applyFill="1" applyBorder="1" applyAlignment="1">
      <alignment horizontal="center" vertical="center"/>
    </xf>
    <xf numFmtId="6" fontId="44" fillId="2" borderId="62" xfId="37" applyNumberFormat="1" applyFont="1" applyFill="1" applyBorder="1" applyAlignment="1">
      <alignment horizontal="center" vertical="center" wrapText="1"/>
    </xf>
    <xf numFmtId="0" fontId="42" fillId="23" borderId="62" xfId="36" applyFont="1" applyFill="1" applyBorder="1" applyAlignment="1">
      <alignment horizontal="center" vertical="center"/>
    </xf>
    <xf numFmtId="6" fontId="44" fillId="0" borderId="62" xfId="37" applyNumberFormat="1" applyFont="1" applyBorder="1" applyAlignment="1">
      <alignment horizontal="center" vertical="center" wrapText="1"/>
    </xf>
    <xf numFmtId="169" fontId="44" fillId="0" borderId="62" xfId="37" applyNumberFormat="1" applyFont="1" applyBorder="1" applyAlignment="1">
      <alignment horizontal="center" vertical="center" wrapText="1"/>
    </xf>
    <xf numFmtId="169" fontId="44" fillId="0" borderId="84" xfId="37" applyNumberFormat="1" applyFont="1" applyBorder="1" applyAlignment="1">
      <alignment horizontal="center" vertical="center" wrapText="1"/>
    </xf>
    <xf numFmtId="9" fontId="44" fillId="2" borderId="62" xfId="37" applyNumberFormat="1" applyFont="1" applyFill="1" applyBorder="1" applyAlignment="1">
      <alignment horizontal="center" vertical="center" wrapText="1"/>
    </xf>
    <xf numFmtId="9" fontId="44" fillId="0" borderId="62" xfId="37" applyNumberFormat="1" applyFont="1" applyBorder="1" applyAlignment="1">
      <alignment horizontal="center" vertical="center" wrapText="1"/>
    </xf>
    <xf numFmtId="0" fontId="42" fillId="23" borderId="55" xfId="36" applyFont="1" applyFill="1" applyBorder="1" applyAlignment="1">
      <alignment horizontal="center" vertical="center"/>
    </xf>
    <xf numFmtId="0" fontId="18" fillId="0" borderId="55" xfId="37" applyFont="1" applyBorder="1" applyAlignment="1">
      <alignment horizontal="center" vertical="center" wrapText="1"/>
    </xf>
    <xf numFmtId="2" fontId="102" fillId="0" borderId="6" xfId="39" applyNumberFormat="1" applyFont="1" applyBorder="1" applyAlignment="1">
      <alignment horizontal="center"/>
    </xf>
    <xf numFmtId="2" fontId="102" fillId="0" borderId="9" xfId="39" applyNumberFormat="1" applyFont="1" applyBorder="1" applyAlignment="1">
      <alignment horizontal="center"/>
    </xf>
    <xf numFmtId="2" fontId="96" fillId="29" borderId="6" xfId="39" applyNumberFormat="1" applyFont="1" applyFill="1" applyBorder="1" applyAlignment="1">
      <alignment horizontal="center"/>
    </xf>
    <xf numFmtId="2" fontId="96" fillId="29" borderId="9" xfId="39" applyNumberFormat="1" applyFont="1" applyFill="1" applyBorder="1" applyAlignment="1">
      <alignment horizontal="center"/>
    </xf>
    <xf numFmtId="2" fontId="96" fillId="29" borderId="60" xfId="39" applyNumberFormat="1" applyFont="1" applyFill="1" applyBorder="1" applyAlignment="1">
      <alignment horizontal="center"/>
    </xf>
    <xf numFmtId="2" fontId="102" fillId="0" borderId="33" xfId="39" applyNumberFormat="1" applyFont="1" applyBorder="1" applyAlignment="1">
      <alignment horizontal="center"/>
    </xf>
    <xf numFmtId="2" fontId="102" fillId="0" borderId="41" xfId="39" applyNumberFormat="1" applyFont="1" applyBorder="1" applyAlignment="1">
      <alignment horizontal="center"/>
    </xf>
    <xf numFmtId="2" fontId="102" fillId="0" borderId="38" xfId="39" applyNumberFormat="1" applyFont="1" applyBorder="1" applyAlignment="1">
      <alignment horizontal="center"/>
    </xf>
    <xf numFmtId="168" fontId="6" fillId="16" borderId="100" xfId="39" applyNumberFormat="1" applyFont="1" applyFill="1" applyBorder="1" applyAlignment="1">
      <alignment horizontal="center"/>
    </xf>
    <xf numFmtId="168" fontId="6" fillId="16" borderId="98" xfId="39" applyNumberFormat="1" applyFont="1" applyFill="1" applyBorder="1" applyAlignment="1">
      <alignment horizontal="center"/>
    </xf>
    <xf numFmtId="1" fontId="6" fillId="16" borderId="100" xfId="39" applyNumberFormat="1" applyFont="1" applyFill="1" applyBorder="1" applyAlignment="1">
      <alignment horizontal="center"/>
    </xf>
    <xf numFmtId="1" fontId="6" fillId="16" borderId="98" xfId="39" applyNumberFormat="1" applyFont="1" applyFill="1" applyBorder="1" applyAlignment="1">
      <alignment horizontal="center"/>
    </xf>
    <xf numFmtId="1" fontId="6" fillId="16" borderId="101" xfId="39" applyNumberFormat="1" applyFont="1" applyFill="1" applyBorder="1" applyAlignment="1">
      <alignment horizontal="center"/>
    </xf>
    <xf numFmtId="0" fontId="83" fillId="0" borderId="100" xfId="39" applyFont="1" applyBorder="1" applyAlignment="1">
      <alignment horizontal="left"/>
    </xf>
    <xf numFmtId="0" fontId="83" fillId="0" borderId="98" xfId="39" applyFont="1" applyBorder="1" applyAlignment="1">
      <alignment horizontal="left"/>
    </xf>
    <xf numFmtId="0" fontId="83" fillId="0" borderId="101" xfId="39" applyFont="1" applyBorder="1" applyAlignment="1">
      <alignment horizontal="left"/>
    </xf>
    <xf numFmtId="0" fontId="103" fillId="27" borderId="63" xfId="39" applyFont="1" applyFill="1" applyBorder="1" applyAlignment="1">
      <alignment horizontal="right"/>
    </xf>
    <xf numFmtId="2" fontId="4" fillId="16" borderId="91" xfId="39" applyNumberFormat="1" applyFill="1" applyBorder="1" applyAlignment="1">
      <alignment horizontal="center"/>
    </xf>
    <xf numFmtId="2" fontId="4" fillId="16" borderId="90" xfId="39" applyNumberFormat="1" applyFill="1" applyBorder="1" applyAlignment="1">
      <alignment horizontal="center"/>
    </xf>
    <xf numFmtId="0" fontId="83" fillId="16" borderId="91" xfId="39" applyFont="1" applyFill="1" applyBorder="1" applyAlignment="1">
      <alignment horizontal="center"/>
    </xf>
    <xf numFmtId="0" fontId="83" fillId="16" borderId="90" xfId="39" applyFont="1" applyFill="1" applyBorder="1" applyAlignment="1">
      <alignment horizontal="center"/>
    </xf>
    <xf numFmtId="0" fontId="83" fillId="16" borderId="92" xfId="39" applyFont="1" applyFill="1" applyBorder="1" applyAlignment="1">
      <alignment horizontal="center"/>
    </xf>
    <xf numFmtId="2" fontId="86" fillId="16" borderId="89" xfId="39" applyNumberFormat="1" applyFont="1" applyFill="1" applyBorder="1" applyAlignment="1">
      <alignment horizontal="center"/>
    </xf>
    <xf numFmtId="2" fontId="86" fillId="16" borderId="92" xfId="39" applyNumberFormat="1" applyFont="1" applyFill="1" applyBorder="1" applyAlignment="1">
      <alignment horizontal="center"/>
    </xf>
    <xf numFmtId="10" fontId="86" fillId="16" borderId="96" xfId="39" applyNumberFormat="1" applyFont="1" applyFill="1" applyBorder="1" applyAlignment="1">
      <alignment horizontal="center"/>
    </xf>
    <xf numFmtId="10" fontId="86" fillId="16" borderId="101" xfId="39" applyNumberFormat="1" applyFont="1" applyFill="1" applyBorder="1" applyAlignment="1">
      <alignment horizontal="center"/>
    </xf>
    <xf numFmtId="168" fontId="109" fillId="16" borderId="100" xfId="39" applyNumberFormat="1" applyFont="1" applyFill="1" applyBorder="1" applyAlignment="1">
      <alignment horizontal="center"/>
    </xf>
    <xf numFmtId="168" fontId="109" fillId="16" borderId="98" xfId="39" applyNumberFormat="1" applyFont="1" applyFill="1" applyBorder="1" applyAlignment="1">
      <alignment horizontal="center"/>
    </xf>
    <xf numFmtId="2" fontId="102" fillId="20" borderId="76" xfId="39" applyNumberFormat="1" applyFont="1" applyFill="1" applyBorder="1" applyAlignment="1">
      <alignment horizontal="center" wrapText="1"/>
    </xf>
    <xf numFmtId="2" fontId="102" fillId="20" borderId="63" xfId="39" applyNumberFormat="1" applyFont="1" applyFill="1" applyBorder="1" applyAlignment="1">
      <alignment horizontal="center" wrapText="1"/>
    </xf>
    <xf numFmtId="2" fontId="102" fillId="20" borderId="80" xfId="39" applyNumberFormat="1" applyFont="1" applyFill="1" applyBorder="1" applyAlignment="1">
      <alignment horizontal="center" wrapText="1"/>
    </xf>
    <xf numFmtId="2" fontId="102" fillId="0" borderId="60" xfId="39" applyNumberFormat="1" applyFont="1" applyBorder="1" applyAlignment="1">
      <alignment horizontal="center"/>
    </xf>
    <xf numFmtId="2" fontId="4" fillId="16" borderId="92" xfId="39" applyNumberFormat="1" applyFill="1" applyBorder="1" applyAlignment="1">
      <alignment horizontal="center"/>
    </xf>
    <xf numFmtId="0" fontId="118" fillId="35" borderId="123" xfId="0" applyFont="1" applyFill="1" applyBorder="1" applyAlignment="1">
      <alignment horizontal="left" vertical="top" wrapText="1"/>
    </xf>
    <xf numFmtId="0" fontId="118" fillId="35" borderId="124" xfId="0" applyFont="1" applyFill="1" applyBorder="1" applyAlignment="1">
      <alignment horizontal="left" vertical="top" wrapText="1"/>
    </xf>
    <xf numFmtId="0" fontId="118" fillId="35" borderId="125" xfId="0" applyFont="1" applyFill="1" applyBorder="1" applyAlignment="1">
      <alignment horizontal="left" vertical="top" wrapText="1"/>
    </xf>
    <xf numFmtId="0" fontId="124" fillId="0" borderId="126" xfId="0" applyFont="1" applyBorder="1" applyAlignment="1">
      <alignment horizontal="center" vertical="top" wrapText="1"/>
    </xf>
    <xf numFmtId="0" fontId="124" fillId="30" borderId="124" xfId="0" applyFont="1" applyFill="1" applyBorder="1" applyAlignment="1">
      <alignment horizontal="center" vertical="top" wrapText="1"/>
    </xf>
    <xf numFmtId="169" fontId="87" fillId="35" borderId="123" xfId="0" applyNumberFormat="1" applyFont="1" applyFill="1" applyBorder="1" applyAlignment="1">
      <alignment horizontal="left" vertical="top" wrapText="1"/>
    </xf>
    <xf numFmtId="169" fontId="87" fillId="35" borderId="124" xfId="0" applyNumberFormat="1" applyFont="1" applyFill="1" applyBorder="1" applyAlignment="1">
      <alignment horizontal="left" vertical="top" wrapText="1"/>
    </xf>
    <xf numFmtId="169" fontId="87" fillId="35" borderId="125" xfId="0" applyNumberFormat="1" applyFont="1" applyFill="1" applyBorder="1" applyAlignment="1">
      <alignment horizontal="left" vertical="top" wrapText="1"/>
    </xf>
    <xf numFmtId="0" fontId="87" fillId="35" borderId="123" xfId="0" applyFont="1" applyFill="1" applyBorder="1" applyAlignment="1">
      <alignment horizontal="left" vertical="top" wrapText="1"/>
    </xf>
    <xf numFmtId="0" fontId="87" fillId="35" borderId="124" xfId="0" applyFont="1" applyFill="1" applyBorder="1" applyAlignment="1">
      <alignment horizontal="left" vertical="top" wrapText="1"/>
    </xf>
    <xf numFmtId="0" fontId="87" fillId="35" borderId="125" xfId="0" applyFont="1" applyFill="1" applyBorder="1" applyAlignment="1">
      <alignment horizontal="left" vertical="top" wrapText="1"/>
    </xf>
  </cellXfs>
  <cellStyles count="42">
    <cellStyle name="-1110569243" xfId="33" xr:uid="{A0DA1EDC-AB24-4C16-BA40-BEF00C71A589}"/>
    <cellStyle name="-132639951" xfId="28" xr:uid="{0338040E-759E-473B-A8C7-9E53BBBF6DDC}"/>
    <cellStyle name="132915025" xfId="30" xr:uid="{63C7E492-E5BE-474D-8EE5-D3AE0A9DB9DA}"/>
    <cellStyle name="184675747" xfId="32" xr:uid="{F2F8A05D-7EDC-406A-80E2-953CA1D43398}"/>
    <cellStyle name="-20340439" xfId="27" xr:uid="{8D0BB551-4020-473D-8257-34FE2C0CAB6A}"/>
    <cellStyle name="477867128" xfId="31" xr:uid="{3274B3BD-8234-4CEE-ACC9-34777E1F1B93}"/>
    <cellStyle name="-517506041" xfId="29" xr:uid="{B9B62D76-ABC0-4C53-9A65-4DCA0E809E2C}"/>
    <cellStyle name="595709010" xfId="34" xr:uid="{043AD095-E865-4A8C-BA35-8F366B32D497}"/>
    <cellStyle name="Comma" xfId="2" builtinId="3"/>
    <cellStyle name="Comma 2" xfId="6" xr:uid="{00000000-0005-0000-0000-000001000000}"/>
    <cellStyle name="Currency 2" xfId="8" xr:uid="{00000000-0005-0000-0000-000002000000}"/>
    <cellStyle name="Currency 3" xfId="16" xr:uid="{44A54526-75B4-4920-8576-82CEDAD8723C}"/>
    <cellStyle name="Currency 5" xfId="25" xr:uid="{790D846D-3519-4432-8220-4802E62D9770}"/>
    <cellStyle name="Currency 6" xfId="24" xr:uid="{44BA10AE-CCAC-400D-B422-F2CE777D895D}"/>
    <cellStyle name="Head 1 - Style1" xfId="10" xr:uid="{00000000-0005-0000-0000-000003000000}"/>
    <cellStyle name="Normal" xfId="0" builtinId="0"/>
    <cellStyle name="Normal 10" xfId="21" xr:uid="{F8EAD1F2-EB61-41A3-974C-82C831E2571F}"/>
    <cellStyle name="Normal 11" xfId="26" xr:uid="{F5A18156-18C1-4165-8C69-D6C201A7FC78}"/>
    <cellStyle name="Normal 11 2" xfId="37" xr:uid="{75D67985-38B8-4999-B5A3-524A8A728ED8}"/>
    <cellStyle name="Normal 12" xfId="35" xr:uid="{A0800012-4C04-40B1-AD58-C6EC5905C79C}"/>
    <cellStyle name="Normal 13" xfId="41" xr:uid="{A3C4F90C-23D1-46D3-957B-13A700CFCFB9}"/>
    <cellStyle name="Normal 132" xfId="14" xr:uid="{314A429A-903F-4432-9193-C1E4E27C0D50}"/>
    <cellStyle name="Normal 2" xfId="4" xr:uid="{00000000-0005-0000-0000-000005000000}"/>
    <cellStyle name="Normal 2 10" xfId="38" xr:uid="{C5C97DE5-C022-41B8-941D-AB6D749CF316}"/>
    <cellStyle name="Normal 2 2" xfId="9" xr:uid="{00000000-0005-0000-0000-000006000000}"/>
    <cellStyle name="Normal 2 2 2" xfId="36" xr:uid="{E520AD06-7064-4C43-B18B-14ADD257B733}"/>
    <cellStyle name="Normal 3" xfId="7" xr:uid="{00000000-0005-0000-0000-000007000000}"/>
    <cellStyle name="Normal 3 2" xfId="15" xr:uid="{149D22F1-5FBA-4E5B-A528-950526332458}"/>
    <cellStyle name="Normal 4" xfId="11" xr:uid="{00000000-0005-0000-0000-000008000000}"/>
    <cellStyle name="Normal 4 5" xfId="39" xr:uid="{29174494-8B1C-4D39-A795-D9C80A867D1D}"/>
    <cellStyle name="Normal 5" xfId="13" xr:uid="{00000000-0005-0000-0000-000009000000}"/>
    <cellStyle name="Normal 6" xfId="23" xr:uid="{87D43316-DB6E-44A4-A850-671F275DC5E5}"/>
    <cellStyle name="Normal 7" xfId="22" xr:uid="{00AEDA74-52DD-45D7-B847-3D627385BF3E}"/>
    <cellStyle name="Normal 8" xfId="19" xr:uid="{FF984659-5DF3-45FE-B1BD-7BC4483D8695}"/>
    <cellStyle name="Normal 8 2" xfId="20" xr:uid="{DEFC0093-20EB-4C9C-AB58-85DF30B71AFC}"/>
    <cellStyle name="Normal 9" xfId="18" xr:uid="{51B9C4A9-662B-4A58-8995-B4CB8F19473F}"/>
    <cellStyle name="Normal_opet00r1" xfId="3" xr:uid="{00000000-0005-0000-0000-00000D000000}"/>
    <cellStyle name="Normal_SWRIM" xfId="17" xr:uid="{9AC286A8-17E4-4646-AD80-CB300CC444DA}"/>
    <cellStyle name="Percent" xfId="1" builtinId="5"/>
    <cellStyle name="Percent 2" xfId="5" xr:uid="{00000000-0005-0000-0000-000010000000}"/>
    <cellStyle name="Percent 3" xfId="12" xr:uid="{00000000-0005-0000-0000-000011000000}"/>
    <cellStyle name="Percent 4" xfId="40" xr:uid="{F0F0C4C9-4272-4D72-AF5D-028D3834F34E}"/>
  </cellStyles>
  <dxfs count="2">
    <dxf>
      <numFmt numFmtId="168" formatCode="&quot;$&quot;#,##0.00"/>
    </dxf>
    <dxf>
      <numFmt numFmtId="168" formatCode="&quot;$&quot;#,##0.00"/>
    </dxf>
  </dxfs>
  <tableStyles count="0" defaultTableStyle="TableStyleMedium2" defaultPivotStyle="PivotStyleLight16"/>
  <colors>
    <mruColors>
      <color rgb="FFEBE4EF"/>
      <color rgb="FFDDF2EE"/>
      <color rgb="FF050246"/>
      <color rgb="FF16365C"/>
      <color rgb="FF4F81BD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pivotCacheDefinition" Target="pivotCache/pivotCacheDefinition1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909215752579389E-2"/>
          <c:y val="7.1682926858156734E-2"/>
          <c:w val="0.93794410006773965"/>
          <c:h val="0.68199738005024335"/>
        </c:manualLayout>
      </c:layout>
      <c:barChart>
        <c:barDir val="col"/>
        <c:grouping val="stacked"/>
        <c:varyColors val="0"/>
        <c:ser>
          <c:idx val="0"/>
          <c:order val="0"/>
          <c:tx>
            <c:v>Self-Funded PEPM</c:v>
          </c:tx>
          <c:spPr>
            <a:solidFill>
              <a:schemeClr val="tx2">
                <a:alpha val="70000"/>
              </a:schemeClr>
            </a:solidFill>
            <a:ln w="28575" cap="sq">
              <a:noFill/>
              <a:miter lim="800000"/>
            </a:ln>
          </c:spPr>
          <c:invertIfNegative val="0"/>
          <c:cat>
            <c:strRef>
              <c:f>'Rate History (Dental)'!$A$21:$A$31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9/18 - 8/19</c:v>
                </c:pt>
                <c:pt idx="5">
                  <c:v>9/19 - 12/19</c:v>
                </c:pt>
                <c:pt idx="6">
                  <c:v>1/20 - 12/20</c:v>
                </c:pt>
                <c:pt idx="7">
                  <c:v>1/21 - 12/21</c:v>
                </c:pt>
                <c:pt idx="8">
                  <c:v>1/22 - 12/22</c:v>
                </c:pt>
                <c:pt idx="9">
                  <c:v>1/23 - 12/23</c:v>
                </c:pt>
                <c:pt idx="10">
                  <c:v>1/24 - YTD</c:v>
                </c:pt>
              </c:strCache>
            </c:strRef>
          </c:cat>
          <c:val>
            <c:numRef>
              <c:f>'Rate History (Dental)'!$G$21:$G$31</c:f>
              <c:numCache>
                <c:formatCode>"$"#,##0.00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D274-46A0-8BF4-92627CDCA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470016"/>
        <c:axId val="157732800"/>
      </c:barChart>
      <c:lineChart>
        <c:grouping val="standard"/>
        <c:varyColors val="0"/>
        <c:ser>
          <c:idx val="4"/>
          <c:order val="1"/>
          <c:tx>
            <c:v>Fully-Insured PEPM</c:v>
          </c:tx>
          <c:spPr>
            <a:ln w="34925"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marker>
            <c:symbol val="none"/>
          </c:marker>
          <c:cat>
            <c:strRef>
              <c:f>'Rate History (Dental)'!$A$21:$A$31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9/18 - 8/19</c:v>
                </c:pt>
                <c:pt idx="5">
                  <c:v>9/19 - 12/19</c:v>
                </c:pt>
                <c:pt idx="6">
                  <c:v>1/20 - 12/20</c:v>
                </c:pt>
                <c:pt idx="7">
                  <c:v>1/21 - 12/21</c:v>
                </c:pt>
                <c:pt idx="8">
                  <c:v>1/22 - 12/22</c:v>
                </c:pt>
                <c:pt idx="9">
                  <c:v>1/23 - 12/23</c:v>
                </c:pt>
                <c:pt idx="10">
                  <c:v>1/24 - YTD</c:v>
                </c:pt>
              </c:strCache>
            </c:strRef>
          </c:cat>
          <c:val>
            <c:numRef>
              <c:f>'Rate History (Dental)'!$K$21:$K$31</c:f>
              <c:numCache>
                <c:formatCode>"$"#,##0.00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&quot;$&quot;#,##0.00_);\(&quot;$&quot;#,##0.00\)">
                  <c:v>102.06</c:v>
                </c:pt>
                <c:pt idx="5" formatCode="&quot;$&quot;#,##0.00_);\(&quot;$&quot;#,##0.00\)">
                  <c:v>103.38677999999999</c:v>
                </c:pt>
                <c:pt idx="6" formatCode="&quot;$&quot;#,##0.00_);\(&quot;$&quot;#,##0.00\)">
                  <c:v>107.52225119999999</c:v>
                </c:pt>
                <c:pt idx="7" formatCode="&quot;$&quot;#,##0.00_);\(&quot;$&quot;#,##0.00\)">
                  <c:v>111.82314124799998</c:v>
                </c:pt>
                <c:pt idx="8" formatCode="&quot;$&quot;#,##0.00_);\(&quot;$&quot;#,##0.00\)">
                  <c:v>116.85518260415998</c:v>
                </c:pt>
                <c:pt idx="9" formatCode="&quot;$&quot;#,##0.00_);\(&quot;$&quot;#,##0.00\)">
                  <c:v>122.11366582134717</c:v>
                </c:pt>
                <c:pt idx="10" formatCode="&quot;$&quot;#,##0.00_);\(&quot;$&quot;#,##0.00\)">
                  <c:v>127.60878078330778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274-46A0-8BF4-92627CDCA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470016"/>
        <c:axId val="157732800"/>
      </c:lineChart>
      <c:catAx>
        <c:axId val="21647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6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57732800"/>
        <c:crosses val="autoZero"/>
        <c:auto val="1"/>
        <c:lblAlgn val="ctr"/>
        <c:lblOffset val="100"/>
        <c:noMultiLvlLbl val="0"/>
      </c:catAx>
      <c:valAx>
        <c:axId val="157732800"/>
        <c:scaling>
          <c:orientation val="minMax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&quot;$&quot;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216470016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8.703829658748333E-4"/>
          <c:y val="0"/>
          <c:w val="0.99912963819070066"/>
          <c:h val="7.081000508118647E-2"/>
        </c:manualLayout>
      </c:layout>
      <c:overlay val="0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NULL"/><Relationship Id="rId2" Type="http://schemas.openxmlformats.org/officeDocument/2006/relationships/customXml" Target="../ink/ink1.xml"/><Relationship Id="rId1" Type="http://schemas.openxmlformats.org/officeDocument/2006/relationships/chart" Target="../charts/chart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872615</xdr:colOff>
      <xdr:row>0</xdr:row>
      <xdr:rowOff>147633</xdr:rowOff>
    </xdr:from>
    <xdr:ext cx="2306014" cy="527282"/>
    <xdr:pic>
      <xdr:nvPicPr>
        <xdr:cNvPr id="2" name="Picture 1" descr="A blue and black letters&#10;&#10;Description automatically generated">
          <a:extLst>
            <a:ext uri="{FF2B5EF4-FFF2-40B4-BE49-F238E27FC236}">
              <a16:creationId xmlns:a16="http://schemas.microsoft.com/office/drawing/2014/main" id="{1FB467CE-531A-46FD-B281-215925FEB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0769090" y="147633"/>
          <a:ext cx="2306014" cy="5272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872615</xdr:colOff>
      <xdr:row>0</xdr:row>
      <xdr:rowOff>147633</xdr:rowOff>
    </xdr:from>
    <xdr:ext cx="2306014" cy="527282"/>
    <xdr:pic>
      <xdr:nvPicPr>
        <xdr:cNvPr id="2" name="Picture 1" descr="A blue and black letters&#10;&#10;Description automatically generated">
          <a:extLst>
            <a:ext uri="{FF2B5EF4-FFF2-40B4-BE49-F238E27FC236}">
              <a16:creationId xmlns:a16="http://schemas.microsoft.com/office/drawing/2014/main" id="{D60E2658-7895-4140-BEE1-1DFD7C5F3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377329" y="147633"/>
          <a:ext cx="2306014" cy="52728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872615</xdr:colOff>
      <xdr:row>0</xdr:row>
      <xdr:rowOff>147633</xdr:rowOff>
    </xdr:from>
    <xdr:ext cx="2306014" cy="527282"/>
    <xdr:pic>
      <xdr:nvPicPr>
        <xdr:cNvPr id="2" name="Picture 1" descr="A blue and black letters&#10;&#10;Description automatically generated">
          <a:extLst>
            <a:ext uri="{FF2B5EF4-FFF2-40B4-BE49-F238E27FC236}">
              <a16:creationId xmlns:a16="http://schemas.microsoft.com/office/drawing/2014/main" id="{297F6803-B60D-4554-8004-77FFD9B29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377329" y="147633"/>
          <a:ext cx="2306014" cy="52728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872615</xdr:colOff>
      <xdr:row>0</xdr:row>
      <xdr:rowOff>147633</xdr:rowOff>
    </xdr:from>
    <xdr:ext cx="2306014" cy="527282"/>
    <xdr:pic>
      <xdr:nvPicPr>
        <xdr:cNvPr id="2" name="Picture 1" descr="A blue and black letters&#10;&#10;Description automatically generated">
          <a:extLst>
            <a:ext uri="{FF2B5EF4-FFF2-40B4-BE49-F238E27FC236}">
              <a16:creationId xmlns:a16="http://schemas.microsoft.com/office/drawing/2014/main" id="{41E21A77-82D6-4EEA-A398-CE7984C77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377329" y="147633"/>
          <a:ext cx="2306014" cy="52728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872615</xdr:colOff>
      <xdr:row>0</xdr:row>
      <xdr:rowOff>147633</xdr:rowOff>
    </xdr:from>
    <xdr:ext cx="2306014" cy="527282"/>
    <xdr:pic>
      <xdr:nvPicPr>
        <xdr:cNvPr id="2" name="Picture 1" descr="A blue and black letters&#10;&#10;Description automatically generated">
          <a:extLst>
            <a:ext uri="{FF2B5EF4-FFF2-40B4-BE49-F238E27FC236}">
              <a16:creationId xmlns:a16="http://schemas.microsoft.com/office/drawing/2014/main" id="{D5C44EB1-F077-4905-A3F7-26BAF6232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371886" y="147633"/>
          <a:ext cx="2306014" cy="52728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872615</xdr:colOff>
      <xdr:row>0</xdr:row>
      <xdr:rowOff>147633</xdr:rowOff>
    </xdr:from>
    <xdr:ext cx="2306014" cy="527282"/>
    <xdr:pic>
      <xdr:nvPicPr>
        <xdr:cNvPr id="2" name="Picture 1" descr="A blue and black letters&#10;&#10;Description automatically generated">
          <a:extLst>
            <a:ext uri="{FF2B5EF4-FFF2-40B4-BE49-F238E27FC236}">
              <a16:creationId xmlns:a16="http://schemas.microsoft.com/office/drawing/2014/main" id="{BBF8D657-595E-4165-BBD3-8A8E5F395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371886" y="147633"/>
          <a:ext cx="2306014" cy="527282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2247121</xdr:colOff>
      <xdr:row>0</xdr:row>
      <xdr:rowOff>202163</xdr:rowOff>
    </xdr:from>
    <xdr:to>
      <xdr:col>4</xdr:col>
      <xdr:colOff>1666997</xdr:colOff>
      <xdr:row>2</xdr:row>
      <xdr:rowOff>63926</xdr:rowOff>
    </xdr:to>
    <xdr:pic>
      <xdr:nvPicPr>
        <xdr:cNvPr id="2" name="Picture 1" descr="A blue and black letters&#10;&#10;Description automatically generated">
          <a:extLst>
            <a:ext uri="{FF2B5EF4-FFF2-40B4-BE49-F238E27FC236}">
              <a16:creationId xmlns:a16="http://schemas.microsoft.com/office/drawing/2014/main" id="{F460793D-8BE7-44BE-B3CE-9531E07FC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995917" y="202163"/>
          <a:ext cx="2306014" cy="5272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1750265</xdr:colOff>
      <xdr:row>0</xdr:row>
      <xdr:rowOff>194387</xdr:rowOff>
    </xdr:from>
    <xdr:ext cx="2306016" cy="527282"/>
    <xdr:pic>
      <xdr:nvPicPr>
        <xdr:cNvPr id="4" name="Picture 3" descr="A blue and black letters&#10;&#10;Description automatically generated">
          <a:extLst>
            <a:ext uri="{FF2B5EF4-FFF2-40B4-BE49-F238E27FC236}">
              <a16:creationId xmlns:a16="http://schemas.microsoft.com/office/drawing/2014/main" id="{05961142-B6F1-41AA-A718-68A4ACBD8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337122" y="194387"/>
          <a:ext cx="2306016" cy="527282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8</xdr:col>
      <xdr:colOff>628650</xdr:colOff>
      <xdr:row>15</xdr:row>
      <xdr:rowOff>200025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62F4D9-43ED-4942-94A6-60EDD9153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495360</xdr:colOff>
      <xdr:row>20</xdr:row>
      <xdr:rowOff>0</xdr:rowOff>
    </xdr:from>
    <xdr:to>
      <xdr:col>1</xdr:col>
      <xdr:colOff>495720</xdr:colOff>
      <xdr:row>20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5AAB73A9-A1C8-4D4C-A138-35A1D91821A8}"/>
                </a:ext>
              </a:extLst>
            </xdr14:cNvPr>
            <xdr14:cNvContentPartPr/>
          </xdr14:nvContentPartPr>
          <xdr14:nvPr macro=""/>
          <xdr14:xfrm>
            <a:off x="1409760" y="5634720"/>
            <a:ext cx="360" cy="432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B7C8C650-9880-48B9-8337-B2E73F9A9F11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400760" y="5625720"/>
              <a:ext cx="18000" cy="219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0.06908</cdr:x>
      <cdr:y>0.07856</cdr:y>
    </cdr:from>
    <cdr:to>
      <cdr:x>0.22831</cdr:x>
      <cdr:y>0.17817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1B91DFF-66DC-4395-BDAC-ADB2C7518A74}"/>
            </a:ext>
          </a:extLst>
        </cdr:cNvPr>
        <cdr:cNvSpPr txBox="1"/>
      </cdr:nvSpPr>
      <cdr:spPr>
        <a:xfrm xmlns:a="http://schemas.openxmlformats.org/drawingml/2006/main">
          <a:off x="619125" y="200025"/>
          <a:ext cx="13525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0.06908</cdr:x>
      <cdr:y>0.07856</cdr:y>
    </cdr:from>
    <cdr:to>
      <cdr:x>0.22831</cdr:x>
      <cdr:y>0.17817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21B91DFF-66DC-4395-BDAC-ADB2C7518A74}"/>
            </a:ext>
          </a:extLst>
        </cdr:cNvPr>
        <cdr:cNvSpPr txBox="1"/>
      </cdr:nvSpPr>
      <cdr:spPr>
        <a:xfrm xmlns:a="http://schemas.openxmlformats.org/drawingml/2006/main">
          <a:off x="619125" y="200025"/>
          <a:ext cx="13525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0.06908</cdr:x>
      <cdr:y>0.07856</cdr:y>
    </cdr:from>
    <cdr:to>
      <cdr:x>0.22831</cdr:x>
      <cdr:y>0.17817</cdr:y>
    </cdr:to>
    <cdr:sp macro="" textlink="">
      <cdr:nvSpPr>
        <cdr:cNvPr id="4" name="TextBox 2">
          <a:extLst xmlns:a="http://schemas.openxmlformats.org/drawingml/2006/main">
            <a:ext uri="{FF2B5EF4-FFF2-40B4-BE49-F238E27FC236}">
              <a16:creationId xmlns:a16="http://schemas.microsoft.com/office/drawing/2014/main" id="{21B91DFF-66DC-4395-BDAC-ADB2C7518A74}"/>
            </a:ext>
          </a:extLst>
        </cdr:cNvPr>
        <cdr:cNvSpPr txBox="1"/>
      </cdr:nvSpPr>
      <cdr:spPr>
        <a:xfrm xmlns:a="http://schemas.openxmlformats.org/drawingml/2006/main">
          <a:off x="619125" y="200025"/>
          <a:ext cx="13525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0.06908</cdr:x>
      <cdr:y>0.07856</cdr:y>
    </cdr:from>
    <cdr:to>
      <cdr:x>0.22831</cdr:x>
      <cdr:y>0.17817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21B91DFF-66DC-4395-BDAC-ADB2C7518A74}"/>
            </a:ext>
          </a:extLst>
        </cdr:cNvPr>
        <cdr:cNvSpPr txBox="1"/>
      </cdr:nvSpPr>
      <cdr:spPr>
        <a:xfrm xmlns:a="http://schemas.openxmlformats.org/drawingml/2006/main">
          <a:off x="619125" y="200025"/>
          <a:ext cx="13525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398858</xdr:colOff>
      <xdr:row>0</xdr:row>
      <xdr:rowOff>126215</xdr:rowOff>
    </xdr:from>
    <xdr:to>
      <xdr:col>11</xdr:col>
      <xdr:colOff>618067</xdr:colOff>
      <xdr:row>3</xdr:row>
      <xdr:rowOff>0</xdr:rowOff>
    </xdr:to>
    <xdr:pic>
      <xdr:nvPicPr>
        <xdr:cNvPr id="2" name="Picture 1" descr="A blue and black letters&#10;&#10;Description automatically generated">
          <a:extLst>
            <a:ext uri="{FF2B5EF4-FFF2-40B4-BE49-F238E27FC236}">
              <a16:creationId xmlns:a16="http://schemas.microsoft.com/office/drawing/2014/main" id="{2773F1A3-7B67-41B2-AEF0-B6496C9B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9739708" y="126215"/>
          <a:ext cx="2534842" cy="546885"/>
        </a:xfrm>
        <a:prstGeom prst="rect">
          <a:avLst/>
        </a:prstGeom>
      </xdr:spPr>
    </xdr:pic>
    <xdr:clientData/>
  </xdr:twoCellAnchor>
  <xdr:twoCellAnchor editAs="oneCell">
    <xdr:from>
      <xdr:col>9</xdr:col>
      <xdr:colOff>401259</xdr:colOff>
      <xdr:row>0</xdr:row>
      <xdr:rowOff>195852</xdr:rowOff>
    </xdr:from>
    <xdr:to>
      <xdr:col>11</xdr:col>
      <xdr:colOff>618067</xdr:colOff>
      <xdr:row>3</xdr:row>
      <xdr:rowOff>82550</xdr:rowOff>
    </xdr:to>
    <xdr:pic>
      <xdr:nvPicPr>
        <xdr:cNvPr id="5" name="Picture 4" descr="A blue and black letters&#10;&#10;Description automatically generated">
          <a:extLst>
            <a:ext uri="{FF2B5EF4-FFF2-40B4-BE49-F238E27FC236}">
              <a16:creationId xmlns:a16="http://schemas.microsoft.com/office/drawing/2014/main" id="{D31D0800-23C2-4D09-AF15-B78E621FA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9764334" y="199027"/>
          <a:ext cx="2541966" cy="5629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398858</xdr:colOff>
      <xdr:row>0</xdr:row>
      <xdr:rowOff>126215</xdr:rowOff>
    </xdr:from>
    <xdr:to>
      <xdr:col>11</xdr:col>
      <xdr:colOff>618067</xdr:colOff>
      <xdr:row>3</xdr:row>
      <xdr:rowOff>0</xdr:rowOff>
    </xdr:to>
    <xdr:pic>
      <xdr:nvPicPr>
        <xdr:cNvPr id="2" name="Picture 1" descr="A blue and black letters&#10;&#10;Description automatically generated">
          <a:extLst>
            <a:ext uri="{FF2B5EF4-FFF2-40B4-BE49-F238E27FC236}">
              <a16:creationId xmlns:a16="http://schemas.microsoft.com/office/drawing/2014/main" id="{0B279851-720E-4F05-8806-6AAE0BA8B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9739708" y="126215"/>
          <a:ext cx="2534842" cy="546885"/>
        </a:xfrm>
        <a:prstGeom prst="rect">
          <a:avLst/>
        </a:prstGeom>
      </xdr:spPr>
    </xdr:pic>
    <xdr:clientData/>
  </xdr:twoCellAnchor>
  <xdr:twoCellAnchor editAs="oneCell">
    <xdr:from>
      <xdr:col>9</xdr:col>
      <xdr:colOff>401259</xdr:colOff>
      <xdr:row>0</xdr:row>
      <xdr:rowOff>114209</xdr:rowOff>
    </xdr:from>
    <xdr:to>
      <xdr:col>11</xdr:col>
      <xdr:colOff>618067</xdr:colOff>
      <xdr:row>3</xdr:row>
      <xdr:rowOff>0</xdr:rowOff>
    </xdr:to>
    <xdr:pic>
      <xdr:nvPicPr>
        <xdr:cNvPr id="3" name="Picture 2" descr="A blue and black letters&#10;&#10;Description automatically generated">
          <a:extLst>
            <a:ext uri="{FF2B5EF4-FFF2-40B4-BE49-F238E27FC236}">
              <a16:creationId xmlns:a16="http://schemas.microsoft.com/office/drawing/2014/main" id="{7ED741B9-F0B4-4C0B-A563-47E2618A4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9764334" y="114209"/>
          <a:ext cx="2541966" cy="56206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902071</xdr:colOff>
      <xdr:row>0</xdr:row>
      <xdr:rowOff>151474</xdr:rowOff>
    </xdr:from>
    <xdr:to>
      <xdr:col>8</xdr:col>
      <xdr:colOff>945589</xdr:colOff>
      <xdr:row>3</xdr:row>
      <xdr:rowOff>0</xdr:rowOff>
    </xdr:to>
    <xdr:pic>
      <xdr:nvPicPr>
        <xdr:cNvPr id="4" name="Picture 3" descr="A blue and black letters&#10;&#10;Description automatically generated">
          <a:extLst>
            <a:ext uri="{FF2B5EF4-FFF2-40B4-BE49-F238E27FC236}">
              <a16:creationId xmlns:a16="http://schemas.microsoft.com/office/drawing/2014/main" id="{CB1618F2-57C6-4171-BD07-863291068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926558" y="151474"/>
          <a:ext cx="2306014" cy="527282"/>
        </a:xfrm>
        <a:prstGeom prst="rect">
          <a:avLst/>
        </a:prstGeom>
      </xdr:spPr>
    </xdr:pic>
    <xdr:clientData/>
  </xdr:twoCellAnchor>
  <xdr:twoCellAnchor editAs="oneCell">
    <xdr:from>
      <xdr:col>7</xdr:col>
      <xdr:colOff>27463</xdr:colOff>
      <xdr:row>0</xdr:row>
      <xdr:rowOff>119812</xdr:rowOff>
    </xdr:from>
    <xdr:to>
      <xdr:col>8</xdr:col>
      <xdr:colOff>1467970</xdr:colOff>
      <xdr:row>3</xdr:row>
      <xdr:rowOff>0</xdr:rowOff>
    </xdr:to>
    <xdr:pic>
      <xdr:nvPicPr>
        <xdr:cNvPr id="2" name="Picture 1" descr="A blue and black letters&#10;&#10;Description automatically generated">
          <a:extLst>
            <a:ext uri="{FF2B5EF4-FFF2-40B4-BE49-F238E27FC236}">
              <a16:creationId xmlns:a16="http://schemas.microsoft.com/office/drawing/2014/main" id="{D99ED8DE-696B-43D5-9D9B-C8E617588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869713" y="122987"/>
          <a:ext cx="2541112" cy="55328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299754</xdr:colOff>
      <xdr:row>0</xdr:row>
      <xdr:rowOff>139469</xdr:rowOff>
    </xdr:from>
    <xdr:to>
      <xdr:col>8</xdr:col>
      <xdr:colOff>1476375</xdr:colOff>
      <xdr:row>2</xdr:row>
      <xdr:rowOff>170090</xdr:rowOff>
    </xdr:to>
    <xdr:pic>
      <xdr:nvPicPr>
        <xdr:cNvPr id="4" name="Picture 3" descr="A blue and black letters&#10;&#10;Description automatically generated">
          <a:extLst>
            <a:ext uri="{FF2B5EF4-FFF2-40B4-BE49-F238E27FC236}">
              <a16:creationId xmlns:a16="http://schemas.microsoft.com/office/drawing/2014/main" id="{088A4CD9-B517-4AE0-80B7-DB5CF5871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253129" y="139469"/>
          <a:ext cx="2306014" cy="527282"/>
        </a:xfrm>
        <a:prstGeom prst="rect">
          <a:avLst/>
        </a:prstGeom>
      </xdr:spPr>
    </xdr:pic>
    <xdr:clientData/>
  </xdr:twoCellAnchor>
  <xdr:twoCellAnchor editAs="oneCell">
    <xdr:from>
      <xdr:col>7</xdr:col>
      <xdr:colOff>27463</xdr:colOff>
      <xdr:row>0</xdr:row>
      <xdr:rowOff>132619</xdr:rowOff>
    </xdr:from>
    <xdr:to>
      <xdr:col>8</xdr:col>
      <xdr:colOff>1476375</xdr:colOff>
      <xdr:row>3</xdr:row>
      <xdr:rowOff>6457</xdr:rowOff>
    </xdr:to>
    <xdr:pic>
      <xdr:nvPicPr>
        <xdr:cNvPr id="2" name="Picture 1" descr="A blue and black letters&#10;&#10;Description automatically generated">
          <a:extLst>
            <a:ext uri="{FF2B5EF4-FFF2-40B4-BE49-F238E27FC236}">
              <a16:creationId xmlns:a16="http://schemas.microsoft.com/office/drawing/2014/main" id="{01C4D828-C7C0-40B7-991B-92EA9BB43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869713" y="132619"/>
          <a:ext cx="2541112" cy="55328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27463</xdr:colOff>
      <xdr:row>0</xdr:row>
      <xdr:rowOff>119812</xdr:rowOff>
    </xdr:from>
    <xdr:to>
      <xdr:col>8</xdr:col>
      <xdr:colOff>1467970</xdr:colOff>
      <xdr:row>3</xdr:row>
      <xdr:rowOff>0</xdr:rowOff>
    </xdr:to>
    <xdr:pic>
      <xdr:nvPicPr>
        <xdr:cNvPr id="2" name="Picture 1" descr="A blue and black letters&#10;&#10;Description automatically generated">
          <a:extLst>
            <a:ext uri="{FF2B5EF4-FFF2-40B4-BE49-F238E27FC236}">
              <a16:creationId xmlns:a16="http://schemas.microsoft.com/office/drawing/2014/main" id="{C50AB496-E342-4353-9408-669349FDD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869713" y="122987"/>
          <a:ext cx="2541112" cy="55328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27463</xdr:colOff>
      <xdr:row>0</xdr:row>
      <xdr:rowOff>119812</xdr:rowOff>
    </xdr:from>
    <xdr:to>
      <xdr:col>8</xdr:col>
      <xdr:colOff>1467970</xdr:colOff>
      <xdr:row>3</xdr:row>
      <xdr:rowOff>0</xdr:rowOff>
    </xdr:to>
    <xdr:pic>
      <xdr:nvPicPr>
        <xdr:cNvPr id="2" name="Picture 1" descr="A blue and black letters&#10;&#10;Description automatically generated">
          <a:extLst>
            <a:ext uri="{FF2B5EF4-FFF2-40B4-BE49-F238E27FC236}">
              <a16:creationId xmlns:a16="http://schemas.microsoft.com/office/drawing/2014/main" id="{3B3CB969-DA6A-41E9-885E-82ACE4040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869713" y="122987"/>
          <a:ext cx="2541112" cy="553288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6-06T17:54:11.2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11,'0'-4,"0"-3</inkml:trace>
</inkml: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rrie.Reed\OneDrive%20-%20Alera%20Group\Desktop\working%20files\City%20of%20Vancouver\High%20Cost%20Claimant%20Detail%20%20Rolling%2012%20May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rie Reed" refreshedDate="45483.472672337964" createdVersion="8" refreshedVersion="8" minRefreshableVersion="3" recordCount="196" xr:uid="{1F92653F-14FF-4B6A-BE5D-49ABA658716C}">
  <cacheSource type="worksheet">
    <worksheetSource ref="A11:Z207" sheet="Sheet1 (2)" r:id="rId2"/>
  </cacheSource>
  <cacheFields count="26">
    <cacheField name="Member ID" numFmtId="0">
      <sharedItems/>
    </cacheField>
    <cacheField name="Member Name" numFmtId="0">
      <sharedItems count="190">
        <s v="CARROLL, CRAIG"/>
        <s v="RIEDEL, KYNSIE"/>
        <s v="FREEMAN, RICKIE"/>
        <s v="THOMAS, JENNIFER"/>
        <s v="BRESEE, RAND"/>
        <s v="TUNTLAND, TRACY"/>
        <s v="FRANCIS, EVELYN"/>
        <s v="QUINTRELL, JOHN"/>
        <s v="MOORE, TRAVIS"/>
        <s v="HOSKINSON, JEREMY"/>
        <s v="LETARTE, EDWARD"/>
        <s v="DENTON, AARON"/>
        <s v="HOMME-LIBBEY, EMILY"/>
        <s v="*****"/>
        <s v="ELLER-PURVIS, MELANIE"/>
        <s v="HEINZMAN, CASEY"/>
        <s v="SOFFNER, APRIL"/>
        <s v="JACKSON, DENNIS"/>
        <s v="GIURGIEV, IASMINA"/>
        <s v="KNOTTS, BAKER"/>
        <s v="HAMBURG, SHAWN"/>
        <s v="WINKLER, IVY"/>
        <s v="JONES, ANTHONY"/>
        <s v="ANDERSON, ERIK"/>
        <s v="TURNER, SAMANTHA"/>
        <s v="NICHOLSON, DUSTIN"/>
        <s v="MAHAN, BRENDAN"/>
        <s v="MAHAN, AMANDA"/>
        <s v="TRYON, DARYL"/>
        <s v="RUTLEDGE, JANET"/>
        <s v="POPRAVAK, NICHOLAS"/>
        <s v="DAVIE, LISA"/>
        <s v="COOK, KRISTINA"/>
        <s v="LEWIS, LAURIE"/>
        <s v="CALHOUN, ADAM"/>
        <s v="NICHELSON, SASHA"/>
        <s v="COSSAR, BRIAN"/>
        <s v="STACKS, RUSSELL"/>
        <s v="BIELAS, MITCH"/>
        <s v="PLUCKHAHN, KIERA"/>
        <s v="MCLEMORE, KATRINA"/>
        <s v="SHRUM, MICHAEL"/>
        <s v="LEEK, DEBORAH"/>
        <s v="GELSINGER, LEE"/>
        <s v="BOYER, HAILEY"/>
        <s v="BALASBAS, WARREN"/>
        <s v="YOUNG, ARIEL"/>
        <s v="VANE, JACQUELINE"/>
        <s v="ROY, JACK"/>
        <s v="PETERSON, JACKIE"/>
        <s v="LUND, KELLY"/>
        <s v="GIBSON, RONALD"/>
        <s v="CASTRO- SANCHEZ, BRENDA"/>
        <s v="MCKEE, RICHARD"/>
        <s v="BUTSCH, MICHELE"/>
        <s v="SUVADA, KENDRICK"/>
        <s v="FREEMAN, LINDA"/>
        <s v="NUNN, DANIEL"/>
        <s v="JOHNSON, ROY"/>
        <s v="FIELDS, JAMES"/>
        <s v="MCCORMACK, KIM"/>
        <s v="RAWLINS, TROY"/>
        <s v="EPPERSON, ROCKY"/>
        <s v="FOREMAN, JAYMIE"/>
        <s v="CORRELL, MARILYN"/>
        <s v="WEIGEL, RICHARD"/>
        <s v="DEMMON, KIM"/>
        <s v="MACFARLANE, JORDAN"/>
        <s v="ANDERSON, QUINTESSA"/>
        <s v="CARY, KEVIN"/>
        <s v="HUBER, ELAINE"/>
        <s v="FRANCIS, JOSHUA"/>
        <s v="HICBAN, STEFANIA PHYLIC"/>
        <s v="DAVIDSON, WILLIAM"/>
        <s v="JACKSON, CARSON"/>
        <s v="SKEETER, MIRANDA"/>
        <s v="DEGENHART, LESLIE"/>
        <s v="LEHTO, KRISTIN"/>
        <s v="RAQUER, JENNIFER"/>
        <s v="SCHNEIDER, SYDNEY"/>
        <s v="GILBRIDE, DALEANA"/>
        <s v="TUBBERVILLE, MONICA"/>
        <s v="HASKE, TAVEN"/>
        <s v="CLEVELAND, DEEANNA"/>
        <s v="HINTZ - JOHNSON, JEANE"/>
        <s v="PECK, KERRY"/>
        <s v="TOVES, RACHEL"/>
        <s v="RICH, SERENA"/>
        <s v="AZINGER, MARLA"/>
        <s v="YEATS, WILDER"/>
        <s v="ROBERTS, ALEXANDRIA"/>
        <s v="PARDUE, CHANTAL"/>
        <s v="LAWSON, CONNIE"/>
        <s v="MELTON, TAMMY"/>
        <s v="SUVADA, KRYSTAL"/>
        <s v="DEFEBBO, MCKENNA"/>
        <s v="STADICK, PAUL"/>
        <s v="FELIX, ALANA"/>
        <s v="DEGRANDPRE, STEPHANIE"/>
        <s v="COPE, MEGAN"/>
        <s v="HUSS, NEIL"/>
        <s v="ALLEN, THOMAS"/>
        <s v="STEIN, JEFFREY"/>
        <s v="STOBER, TY"/>
        <s v="PETERS, KYLE"/>
        <s v="MCMILLAN, SHARON"/>
        <s v="NICHOLSON, ALISON"/>
        <s v="SEXSON, JENNIFER"/>
        <s v="WEBBERLEY, COLBY"/>
        <s v="MUSSER, JEFFREY"/>
        <s v="HIGGINS, TIM"/>
        <s v="JOHNSON, GERALD"/>
        <s v="SKOLLINGSBERG, ANNABELLE"/>
        <s v="TURNER, GREG"/>
        <s v="ANDERSON, RICHARD"/>
        <s v="THURMAN, CHAD"/>
        <s v="FORAL, GLORIA"/>
        <s v="RAMEY, BRIAN"/>
        <s v="BACHELDER, KENDALL"/>
        <s v="ALBA, EDWIN"/>
        <s v="NELSON, CARMEN"/>
        <s v="WHITNEY, TARISA"/>
        <s v="BOLLENS, JENNA"/>
        <s v="BENOIT, EMILY"/>
        <s v="KNOTTS, BAYLOR"/>
        <s v="AKERILL, PHILLIP"/>
        <s v="TURK, MELANIE"/>
        <s v="WINKLER, CHARLES"/>
        <s v="SNOW, EMILY"/>
        <s v="MILES, ANGELA"/>
        <s v="SCHETKY, JONATHAN"/>
        <s v="KENNEDY, PATRICK"/>
        <s v="HING, AUDREYAUNA"/>
        <s v="KARNOSKI, JOHANNA"/>
        <s v="DELAPENA, ISABEL"/>
        <s v="HALEY, JOHN"/>
        <s v="FRANCO, CHRISTINA"/>
        <s v="CHAVERS, CHERI"/>
        <s v="CAMPBELL MCCOLLUM, IDEN"/>
        <s v="PRENTICE, RONI"/>
        <s v="HAMMOND, TRACI"/>
        <s v="FRANCIS, LAURA"/>
        <s v="MCNICHOLAS, DUANE"/>
        <s v="OLSEN, SHANNON"/>
        <s v="CHOPP, JAMISON"/>
        <s v="HARRIS, STEVE"/>
        <s v="CHICKS, THERON"/>
        <s v="KUNZE, ASHLEY NICOLE"/>
        <s v="CARLOW, JAKE"/>
        <s v="KITTERMAN, JASON"/>
        <s v="HARRIS, ANDREA"/>
        <s v="LENNON, GUY"/>
        <s v="WOKAL, ANGELIQUE"/>
        <s v="THURMAN, SIOBHAN"/>
        <s v="WHITNEY, MARCUS"/>
        <s v="SWANSON, MICHAEL"/>
        <s v="DONOHUE, LILY"/>
        <s v="LOFTON, LEE"/>
        <s v="MILLER, JOSHUA"/>
        <s v="HEARD, CHRISTOPHER"/>
        <s v="DANLEY, KEVIN"/>
        <s v="DOLLAR, SARAH"/>
        <s v="KESLER-MAROSI, TEEGAN"/>
        <s v="RICH, MELANIE"/>
        <s v="ROY, CONNER"/>
        <s v="GILBRIDE, PATRICK"/>
        <s v="HOSKINSON, MELISSA"/>
        <s v="TURNER, BRADLEY"/>
        <s v="GIVENS, ROBERT"/>
        <s v="BALASBAS, KAREN"/>
        <s v="DEMARCO, AVA"/>
        <s v="VAN AALST, KASEN"/>
        <s v="TRYON, MONYKA"/>
        <s v="LOCKE, RUBY"/>
        <s v="HOLMES, ELIZABETH"/>
        <s v="TAYLOR, LYLA"/>
        <s v="SEIBEL, JEFF"/>
        <s v="CHANDRA, ALYSHA"/>
        <s v="JENSEN, DANIEL"/>
        <s v="SCHETKY, JULIA"/>
        <s v="RICH, LUCAS"/>
        <s v="WEBBERLEY, TESSIE"/>
        <s v="PICCHIONI, TINA"/>
        <s v="CONE, MIKAELA"/>
        <s v="KIRSCHENMAN, MEGAN"/>
        <s v="DEGRANDPRE, HAYDEN"/>
        <s v="PRIEST, LAUREL"/>
        <s v="VISSMAN, SCOTT"/>
        <s v="HALLVIK, ALEX"/>
        <s v=""/>
      </sharedItems>
    </cacheField>
    <cacheField name="Member Date of Birth" numFmtId="0">
      <sharedItems/>
    </cacheField>
    <cacheField name="Member Relationship" numFmtId="0">
      <sharedItems/>
    </cacheField>
    <cacheField name="Parent Group" numFmtId="0">
      <sharedItems/>
    </cacheField>
    <cacheField name="Group*" numFmtId="0">
      <sharedItems/>
    </cacheField>
    <cacheField name="SubGroup*" numFmtId="0">
      <sharedItems/>
    </cacheField>
    <cacheField name="Class*" numFmtId="0">
      <sharedItems/>
    </cacheField>
    <cacheField name="Class Plan*" numFmtId="0">
      <sharedItems/>
    </cacheField>
    <cacheField name="Currently Enrolled Indicator" numFmtId="0">
      <sharedItems/>
    </cacheField>
    <cacheField name="Primary Diagnosis Level 1" numFmtId="0">
      <sharedItems containsBlank="1"/>
    </cacheField>
    <cacheField name="Primary Diagnosis Level 2" numFmtId="0">
      <sharedItems containsBlank="1"/>
    </cacheField>
    <cacheField name="Primary Diagnosis Level 3" numFmtId="0">
      <sharedItems containsBlank="1"/>
    </cacheField>
    <cacheField name="Primary Drug Name" numFmtId="0">
      <sharedItems containsBlank="1"/>
    </cacheField>
    <cacheField name="Last Service Month" numFmtId="0">
      <sharedItems/>
    </cacheField>
    <cacheField name="Prospective Risk Score" numFmtId="0">
      <sharedItems containsBlank="1" containsMixedTypes="1" containsNumber="1" minValue="0.15" maxValue="138.26"/>
    </cacheField>
    <cacheField name="Prospective Risk Range" numFmtId="0">
      <sharedItems/>
    </cacheField>
    <cacheField name="Medical Paid" numFmtId="0">
      <sharedItems containsBlank="1" containsMixedTypes="1" containsNumber="1" minValue="248.5" maxValue="478541.35"/>
    </cacheField>
    <cacheField name="Pharmacy Paid" numFmtId="0">
      <sharedItems containsBlank="1" containsMixedTypes="1" containsNumber="1" minValue="1.95" maxValue="1711955.59"/>
    </cacheField>
    <cacheField name="Total Paid" numFmtId="0">
      <sharedItems containsMixedTypes="1" containsNumber="1" minValue="10002.379999999999" maxValue="2190496.94"/>
    </cacheField>
    <cacheField name="Total Billed" numFmtId="0">
      <sharedItems containsMixedTypes="1" containsNumber="1" minValue="5375.98" maxValue="5735877.3300000001"/>
    </cacheField>
    <cacheField name="Total Covered Charges" numFmtId="0">
      <sharedItems containsMixedTypes="1" containsNumber="1" minValue="12235.08" maxValue="5436151.4400000004"/>
    </cacheField>
    <cacheField name="Total Allowed" numFmtId="0">
      <sharedItems containsMixedTypes="1" containsNumber="1" minValue="10827.53" maxValue="2208428.98"/>
    </cacheField>
    <cacheField name="Admits" numFmtId="0">
      <sharedItems containsBlank="1" containsMixedTypes="1" containsNumber="1" containsInteger="1" minValue="0" maxValue="6"/>
    </cacheField>
    <cacheField name="Services" numFmtId="0">
      <sharedItems containsBlank="1" containsMixedTypes="1" containsNumber="1" containsInteger="1" minValue="1" maxValue="450"/>
    </cacheField>
    <cacheField name="Prescriptions" numFmtId="0">
      <sharedItems containsMixedTypes="1" containsNumber="1" containsInteg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">
  <r>
    <s v="180193559-00"/>
    <x v="0"/>
    <s v="1984-10-11"/>
    <s v="Subscriber"/>
    <s v="800000032 - CITY OF VANCOUVER"/>
    <s v="10034258 - CITY OF VANCOUVER"/>
    <s v="0001 - CITY OF VANCOUVER ACTIVE NON-UNIFORMED"/>
    <s v="0001 - ACTIVE"/>
    <s v="RXES1001 - ASC Custom RX Plan 1"/>
    <s v="Yes"/>
    <s v="Diseases of the digestive system"/>
    <s v="Abdominal hernia"/>
    <s v="K44.9 - Diaphragmatic hernia without obstruction or gangrene"/>
    <s v="HAEGARDA"/>
    <s v="May 2024"/>
    <n v="138.26"/>
    <s v="High Risk"/>
    <n v="478541.35"/>
    <n v="1711955.59"/>
    <n v="2190496.94"/>
    <n v="5735877.3300000001"/>
    <n v="5436151.4400000004"/>
    <n v="2208428.98"/>
    <n v="6"/>
    <n v="237"/>
    <n v="100"/>
  </r>
  <r>
    <s v="180116158-01"/>
    <x v="1"/>
    <s v="1995-08-22"/>
    <s v="Spouse"/>
    <s v="800000032 - CITY OF VANCOUVER"/>
    <s v="10034258 - CITY OF VANCOUVER"/>
    <s v="0005 - CITY OF VANCOUVER POLICE GUILD COMMAND"/>
    <s v="0011 - POLICE GUILD/COMMAND"/>
    <s v="RXES1001 - ASC Custom RX Plan 1"/>
    <s v="Yes"/>
    <s v="Diseases of the respiratory system"/>
    <s v="Other specified and unspecified upper respiratory disease"/>
    <s v="J34.2 - Deviated nasal septum"/>
    <s v="TRIKAFTA"/>
    <s v="May 2024"/>
    <n v="39.86"/>
    <s v="High Risk"/>
    <n v="58772.87"/>
    <n v="381956.54"/>
    <n v="440729.41"/>
    <n v="559400.99"/>
    <n v="559058.99"/>
    <n v="469816.66"/>
    <n v="0"/>
    <n v="39"/>
    <n v="37"/>
  </r>
  <r>
    <s v="170155650-01"/>
    <x v="2"/>
    <s v="1955-11-29"/>
    <s v="Spouse"/>
    <s v="800000032 - CITY OF VANCOUVER"/>
    <s v="10034258 - CITY OF VANCOUVER"/>
    <s v="0001 - CITY OF VANCOUVER ACTIVE NON-UNIFORMED"/>
    <s v="0001 - ACTIVE"/>
    <s v="MESA1001 - ASC Custom Product 1"/>
    <s v="No"/>
    <s v="Diseases of the nervous system"/>
    <s v="Other nervous system disorders (neither hereditary nor degenerative)"/>
    <s v="G93.6 - Cerebral edema"/>
    <m/>
    <s v="Jun 2023"/>
    <m/>
    <s v="N/A"/>
    <n v="163102.81"/>
    <m/>
    <n v="163102.81"/>
    <n v="193496.12"/>
    <n v="193496.12"/>
    <n v="165253.56"/>
    <n v="1"/>
    <n v="28"/>
    <n v="0"/>
  </r>
  <r>
    <s v="170155795-00"/>
    <x v="3"/>
    <s v="1983-09-24"/>
    <s v="Subscriber"/>
    <s v="800000032 - CITY OF VANCOUVER"/>
    <s v="10034258 - CITY OF VANCOUVER"/>
    <s v="0001 - CITY OF VANCOUVER ACTIVE NON-UNIFORMED"/>
    <s v="0001 - ACTIVE"/>
    <s v="MESA1001 - ASC Custom Product 1"/>
    <s v="Yes"/>
    <s v="Diseases of the musculoskeletal system and connective tissue"/>
    <s v="Spondylopathies/spondyloarthropathy (including infective)"/>
    <s v="M54.2 - Cervicalgia"/>
    <s v="STELARA"/>
    <s v="May 2024"/>
    <n v="7.47"/>
    <s v="Medium Risk"/>
    <n v="10031.879999999999"/>
    <n v="146582.70000000001"/>
    <n v="156614.57999999999"/>
    <n v="216169.35"/>
    <n v="216169.35"/>
    <n v="167700.28"/>
    <n v="0"/>
    <n v="136"/>
    <n v="11"/>
  </r>
  <r>
    <s v="170155604-01"/>
    <x v="4"/>
    <s v="1974-09-13"/>
    <s v="Spouse"/>
    <s v="800000032 - CITY OF VANCOUVER"/>
    <s v="10034258 - CITY OF VANCOUVER"/>
    <s v="0001 - CITY OF VANCOUVER ACTIVE NON-UNIFORMED"/>
    <s v="0001 - ACTIVE"/>
    <s v="RXES1001 - ASC Custom RX Plan 1"/>
    <s v="Yes"/>
    <s v="Diseases of the blood and blood-forming organs and certain disorders involving the immune mechanism"/>
    <s v="Immunity disorders"/>
    <s v="D84.9 - Immunodeficiency, unspecified"/>
    <s v="CRESEMBA"/>
    <s v="May 2024"/>
    <n v="8.52"/>
    <s v="Medium Risk"/>
    <n v="38140.89"/>
    <n v="108544.81"/>
    <n v="146685.70000000001"/>
    <n v="253479.31"/>
    <n v="253479.31"/>
    <n v="149320.09"/>
    <n v="0"/>
    <n v="236"/>
    <n v="57"/>
  </r>
  <r>
    <s v="170155802-00"/>
    <x v="5"/>
    <s v="1961-12-24"/>
    <s v="Subscriber"/>
    <s v="800000032 - CITY OF VANCOUVER"/>
    <s v="10034258 - CITY OF VANCOUVER"/>
    <s v="0001 - CITY OF VANCOUVER ACTIVE NON-UNIFORMED"/>
    <s v="0001 - ACTIVE"/>
    <s v="RXES1001 - ASC Custom RX Plan 1"/>
    <s v="No"/>
    <s v="Neoplasms"/>
    <s v="Secondary malignancies"/>
    <s v="C79.31 - Secondary malignant neoplasm of brain"/>
    <s v="ALUNBRIG"/>
    <s v="Dec 2023"/>
    <m/>
    <s v="N/A"/>
    <n v="32265.02"/>
    <n v="114274.18"/>
    <n v="146539.20000000001"/>
    <n v="253550.88"/>
    <n v="248454.08"/>
    <n v="147090.46"/>
    <n v="0"/>
    <n v="120"/>
    <n v="25"/>
  </r>
  <r>
    <s v="190175618-02"/>
    <x v="6"/>
    <s v="2007-01-18"/>
    <s v="Dependent"/>
    <s v="800000032 - CITY OF VANCOUVER"/>
    <s v="10034258 - CITY OF VANCOUVER"/>
    <s v="0001 - CITY OF VANCOUVER ACTIVE NON-UNIFORMED"/>
    <s v="0001 - ACTIVE"/>
    <s v="RXHS1001 - HSA RX Plan 1"/>
    <s v="Yes"/>
    <s v="Mental, behavioral and neurodevelopmental disorders"/>
    <s v="Depressive disorders"/>
    <s v="F33.1 - Major depressive disorder, recurrent, moderate"/>
    <s v="GUANFACINE ER"/>
    <s v="May 2024"/>
    <n v="2.52"/>
    <s v="Low Risk"/>
    <n v="139275.38"/>
    <n v="640.91999999999996"/>
    <n v="139916.29999999999"/>
    <n v="390900.66"/>
    <n v="381007.11"/>
    <n v="144679.31"/>
    <n v="1"/>
    <n v="122"/>
    <n v="44"/>
  </r>
  <r>
    <s v="230212616-01"/>
    <x v="7"/>
    <s v="1964-04-15"/>
    <s v="Spouse"/>
    <s v="800000032 - CITY OF VANCOUVER"/>
    <s v="10034258 - CITY OF VANCOUVER"/>
    <s v="0001 - CITY OF VANCOUVER ACTIVE NON-UNIFORMED"/>
    <s v="0001 - ACTIVE"/>
    <s v="RXES1001 - ASC Custom RX Plan 1"/>
    <s v="Yes"/>
    <s v="Diseases of the musculoskeletal system and connective tissue"/>
    <s v="Spondylopathies/spondyloarthropathy (including infective)"/>
    <s v="M48.061 - Spinal stenosis, lumbar region without neurogenic claudication"/>
    <s v="GABAPENTIN"/>
    <s v="May 2024"/>
    <n v="5.18"/>
    <s v="Medium Risk"/>
    <n v="126614.54"/>
    <n v="197.03"/>
    <n v="126811.57"/>
    <n v="289395.31"/>
    <n v="270352.40000000002"/>
    <n v="129495.62"/>
    <n v="1"/>
    <n v="33"/>
    <n v="19"/>
  </r>
  <r>
    <s v="180071252-00"/>
    <x v="8"/>
    <s v="1972-10-09"/>
    <s v="Subscriber"/>
    <s v="800000032 - CITY OF VANCOUVER"/>
    <s v="10034258 - CITY OF VANCOUVER"/>
    <s v="0001 - CITY OF VANCOUVER ACTIVE NON-UNIFORMED"/>
    <s v="0001 - ACTIVE"/>
    <s v="RXHS1001 - HSA RX Plan 1"/>
    <s v="Yes"/>
    <s v="Neoplasms"/>
    <s v="Benign neoplasms"/>
    <s v="D12.2 - Benign neoplasm of ascending colon"/>
    <s v="ELIQUIS"/>
    <s v="May 2024"/>
    <n v="9.49"/>
    <s v="High Risk"/>
    <n v="96108.74"/>
    <n v="3414.14"/>
    <n v="99522.880000000005"/>
    <n v="315390.52"/>
    <n v="302222.39"/>
    <n v="102930.11"/>
    <n v="2"/>
    <n v="56"/>
    <n v="12"/>
  </r>
  <r>
    <s v="170155843-00"/>
    <x v="9"/>
    <s v="1987-01-27"/>
    <s v="Subscriber"/>
    <s v="800000032 - CITY OF VANCOUVER"/>
    <s v="10034258 - CITY OF VANCOUVER"/>
    <s v="0001 - CITY OF VANCOUVER ACTIVE NON-UNIFORMED"/>
    <s v="0001 - ACTIVE"/>
    <s v="MHSA1001 - HSA Medical Plan 1"/>
    <s v="Yes"/>
    <s v="Neoplasms"/>
    <s v="Hodgkin lymphoma"/>
    <s v="C81.04 - Nodular lymphocyte predominant Hodgkin lymphoma, lymph nodes of axilla and upper limb"/>
    <s v="BUDESONIDE"/>
    <s v="May 2024"/>
    <n v="21.76"/>
    <s v="High Risk"/>
    <n v="95764.34"/>
    <n v="1322.54"/>
    <n v="97086.88"/>
    <n v="290030.37"/>
    <n v="290030.37"/>
    <n v="101930.3"/>
    <n v="0"/>
    <n v="288"/>
    <n v="23"/>
  </r>
  <r>
    <s v="170155707-00"/>
    <x v="10"/>
    <s v="1963-10-03"/>
    <s v="Subscriber"/>
    <s v="800000032 - CITY OF VANCOUVER"/>
    <s v="10034258 - CITY OF VANCOUVER"/>
    <s v="0005 - CITY OF VANCOUVER POLICE GUILD COMMAND"/>
    <s v="0011 - POLICE GUILD/COMMAND"/>
    <s v="RXES1001 - ASC Custom RX Plan 1"/>
    <s v="Yes"/>
    <s v="Diseases of the circulatory system"/>
    <s v="Cardiac dysrhythmias"/>
    <s v="I48.0 - Paroxysmal atrial fibrillation"/>
    <s v="ELIQUIS"/>
    <s v="May 2024"/>
    <n v="3.48"/>
    <s v="Medium Risk"/>
    <n v="88516.74"/>
    <n v="2345.73"/>
    <n v="90862.47"/>
    <n v="248592.1"/>
    <n v="166934"/>
    <n v="93625.11"/>
    <n v="0"/>
    <n v="61"/>
    <n v="11"/>
  </r>
  <r>
    <s v="170155635-01"/>
    <x v="11"/>
    <s v="1985-08-04"/>
    <s v="Spouse"/>
    <s v="800000032 - CITY OF VANCOUVER"/>
    <s v="10034258 - CITY OF VANCOUVER"/>
    <s v="0001 - CITY OF VANCOUVER ACTIVE NON-UNIFORMED"/>
    <s v="0001 - ACTIVE"/>
    <s v="RXHS1001 - HSA RX Plan 1"/>
    <s v="Yes"/>
    <s v="Diseases of the circulatory system"/>
    <s v="Nonspecific chest pain"/>
    <s v="R07.2 - Precordial pain"/>
    <s v="HUMIRA PEN"/>
    <s v="May 2024"/>
    <n v="6.19"/>
    <s v="Medium Risk"/>
    <n v="8274.73"/>
    <n v="82372.94"/>
    <n v="90647.67"/>
    <n v="122892"/>
    <n v="122892"/>
    <n v="95647.67"/>
    <n v="0"/>
    <n v="30"/>
    <n v="17"/>
  </r>
  <r>
    <s v="170155709-04"/>
    <x v="12"/>
    <s v="2007-01-17"/>
    <s v="Dependent"/>
    <s v="800000032 - CITY OF VANCOUVER"/>
    <s v="10034258 - CITY OF VANCOUVER"/>
    <s v="0005 - CITY OF VANCOUVER POLICE GUILD COMMAND"/>
    <s v="0011 - POLICE GUILD/COMMAND"/>
    <s v="RXES1001 - ASC Custom RX Plan 1"/>
    <s v="Yes"/>
    <s v="Mental, behavioral and neurodevelopmental disorders"/>
    <s v="Depressive disorders"/>
    <s v="F33.2 - Major depressive disorder, recurrent severe without psychotic features"/>
    <s v="DEXMETHYLPHENIDATE HYDROCHLORIDE ER"/>
    <s v="May 2024"/>
    <n v="2.73"/>
    <s v="Medium Risk"/>
    <n v="87377.54"/>
    <n v="2120.5700000000002"/>
    <n v="89498.11"/>
    <n v="208386.19"/>
    <n v="208386.19"/>
    <n v="91156.39"/>
    <n v="2"/>
    <n v="66"/>
    <n v="58"/>
  </r>
  <r>
    <s v="*****"/>
    <x v="13"/>
    <s v="*****"/>
    <s v="Subscriber"/>
    <s v="800000032 - CITY OF VANCOUVER"/>
    <s v="10034258 - CITY OF VANCOUVER"/>
    <s v="0001 - CITY OF VANCOUVER ACTIVE NON-UNIFORMED"/>
    <s v="0001 - ACTIVE"/>
    <s v="MESA1001 - ASC Custom Product 1"/>
    <s v="Yes"/>
    <s v="Diseases of the musculoskeletal system and connective tissue"/>
    <s v="Neurogenic/neuropathic arthropathy"/>
    <s v="M14.671 - Charcot's joint, right ankle and foot"/>
    <s v="!"/>
    <s v="May 2024"/>
    <n v="9.99"/>
    <s v="High Risk"/>
    <n v="83475.960000000006"/>
    <n v="801.5"/>
    <n v="84277.46"/>
    <n v="382224.03"/>
    <n v="237276.88"/>
    <n v="85051.01"/>
    <n v="1"/>
    <n v="214"/>
    <n v="35"/>
  </r>
  <r>
    <s v="210074504-01"/>
    <x v="14"/>
    <s v="1970-10-26"/>
    <s v="Spouse"/>
    <s v="800000032 - CITY OF VANCOUVER"/>
    <s v="10034258 - CITY OF VANCOUVER"/>
    <s v="0001 - CITY OF VANCOUVER ACTIVE NON-UNIFORMED"/>
    <s v="0001 - ACTIVE"/>
    <s v="RXES1001 - ASC Custom RX Plan 1"/>
    <s v="Yes"/>
    <s v="Diseases of the musculoskeletal system and connective tissue"/>
    <s v="Tendon and synovial disorders"/>
    <s v="M75.111 - Incomplete rotator cuff tear or rupture of right shoulder, not specified as traumatic"/>
    <s v="JARDIANCE"/>
    <s v="May 2024"/>
    <n v="5.36"/>
    <s v="Medium Risk"/>
    <n v="79122.720000000001"/>
    <n v="2181.7800000000002"/>
    <n v="81304.5"/>
    <n v="87520.2"/>
    <n v="87385.2"/>
    <n v="84678.09"/>
    <n v="0"/>
    <n v="153"/>
    <n v="41"/>
  </r>
  <r>
    <s v="180037915-00"/>
    <x v="15"/>
    <s v="1979-04-03"/>
    <s v="Subscriber"/>
    <s v="800000032 - CITY OF VANCOUVER"/>
    <s v="10034258 - CITY OF VANCOUVER"/>
    <s v="0005 - CITY OF VANCOUVER POLICE GUILD COMMAND"/>
    <s v="0011 - POLICE GUILD/COMMAND"/>
    <s v="RXES1001 - ASC Custom RX Plan 1"/>
    <s v="Yes"/>
    <s v="Diseases of the circulatory system"/>
    <s v="Cardiac dysrhythmias"/>
    <s v="I48.0 - Paroxysmal atrial fibrillation"/>
    <s v="ELIQUIS"/>
    <s v="Dec 2023"/>
    <n v="1.29"/>
    <s v="Low Risk"/>
    <n v="78606.64"/>
    <n v="1155.5899999999999"/>
    <n v="79762.23"/>
    <n v="111219.42"/>
    <n v="111219.42"/>
    <n v="80755.53"/>
    <n v="0"/>
    <n v="96"/>
    <n v="13"/>
  </r>
  <r>
    <s v="170156026-00"/>
    <x v="16"/>
    <s v="1986-06-05"/>
    <s v="Subscriber"/>
    <s v="800000032 - CITY OF VANCOUVER"/>
    <s v="10034259 - VANCOUVER HOUSING AUTHORITY"/>
    <s v="0001 - VANCOUVER HOUSING AUTHORITY"/>
    <s v="0001 - ACTIVE"/>
    <s v="RXHS1001 - HSA RX Plan 1"/>
    <s v="Yes"/>
    <s v="Diseases of the nervous system"/>
    <s v="Multiple sclerosis"/>
    <s v="G35 - Multiple sclerosis"/>
    <s v="BLISOVI FE 1/20"/>
    <s v="May 2024"/>
    <n v="14.45"/>
    <s v="High Risk"/>
    <n v="72871.33"/>
    <n v="905.88"/>
    <n v="73777.210000000006"/>
    <n v="205906.83"/>
    <n v="204490.7"/>
    <n v="78777.210000000006"/>
    <n v="0"/>
    <n v="19"/>
    <n v="13"/>
  </r>
  <r>
    <s v="170155676-00"/>
    <x v="17"/>
    <s v="1968-06-08"/>
    <s v="Subscriber"/>
    <s v="800000032 - CITY OF VANCOUVER"/>
    <s v="10034258 - CITY OF VANCOUVER"/>
    <s v="0001 - CITY OF VANCOUVER ACTIVE NON-UNIFORMED"/>
    <s v="0001 - ACTIVE"/>
    <s v="MESA1001 - ASC Custom Product 1"/>
    <s v="Yes"/>
    <s v="Diseases of the musculoskeletal system and connective tissue"/>
    <s v="Osteoarthritis"/>
    <s v="M17.12 - Unilateral primary osteoarthritis, left knee"/>
    <s v="OLMESARTAN MEDOXOMIL"/>
    <s v="May 2024"/>
    <n v="2.73"/>
    <s v="Medium Risk"/>
    <n v="72775.3"/>
    <n v="252.32"/>
    <n v="73027.62"/>
    <n v="95586.55"/>
    <n v="95586.55"/>
    <n v="75514.600000000006"/>
    <n v="0"/>
    <n v="103"/>
    <n v="31"/>
  </r>
  <r>
    <s v="190065775-00"/>
    <x v="18"/>
    <s v="1982-02-05"/>
    <s v="Subscriber"/>
    <s v="800000032 - CITY OF VANCOUVER"/>
    <s v="10034258 - CITY OF VANCOUVER"/>
    <s v="0001 - CITY OF VANCOUVER ACTIVE NON-UNIFORMED"/>
    <s v="0001 - ACTIVE"/>
    <s v="MESA1001 - ASC Custom Product 1"/>
    <s v="Yes"/>
    <s v="Diseases of the digestive system"/>
    <s v="Regional enteritis and ulcerative colitis"/>
    <s v="K50.912 - Crohn's disease, unspecified, with intestinal obstruction"/>
    <s v="BUSPIRONE HYDROCHLORIDE"/>
    <s v="Mar 2024"/>
    <n v="8.01"/>
    <s v="Medium Risk"/>
    <n v="71630.289999999994"/>
    <n v="308.92"/>
    <n v="71939.210000000006"/>
    <n v="140997.35"/>
    <n v="140997.35"/>
    <n v="74406.83"/>
    <n v="1"/>
    <n v="41"/>
    <n v="13"/>
  </r>
  <r>
    <s v="210267364-02"/>
    <x v="19"/>
    <s v="2023-12-11"/>
    <s v="Dependent"/>
    <s v="800000032 - CITY OF VANCOUVER"/>
    <s v="10034258 - CITY OF VANCOUVER"/>
    <s v="0005 - CITY OF VANCOUVER POLICE GUILD COMMAND"/>
    <s v="0011 - POLICE GUILD/COMMAND"/>
    <s v="RXES1001 - ASC Custom RX Plan 1"/>
    <s v="Yes"/>
    <s v="Diseases of the digestive system"/>
    <s v="Abdominal hernia"/>
    <s v="K40.20 - Bilateral inguinal hernia, without obstruction or gangrene, not specified as recurrent"/>
    <s v="FAMOTIDINE"/>
    <s v="May 2024"/>
    <n v="2.65"/>
    <s v="Medium Risk"/>
    <n v="69655.37"/>
    <n v="106.48"/>
    <n v="69761.850000000006"/>
    <n v="98199.67"/>
    <n v="98199.67"/>
    <n v="73969.919999999998"/>
    <n v="2"/>
    <n v="66"/>
    <n v="2"/>
  </r>
  <r>
    <s v="210200135-00"/>
    <x v="20"/>
    <s v="1974-05-24"/>
    <s v="Subscriber"/>
    <s v="800000032 - CITY OF VANCOUVER"/>
    <s v="10034259 - VANCOUVER HOUSING AUTHORITY"/>
    <s v="0001 - VANCOUVER HOUSING AUTHORITY"/>
    <s v="0001 - ACTIVE"/>
    <s v="RXES2001 - ASC Custom RX Plan 2"/>
    <s v="Yes"/>
    <s v="Injury, poisoning and certain other consequences of external causes"/>
    <s v="Fracture of the neck of the femur (hip), initial encounter"/>
    <s v="S72.142A - Displaced intertrochanteric fracture of left femur, initial encounter for closed fracture"/>
    <s v="RESTASIS"/>
    <s v="May 2024"/>
    <n v="2.35"/>
    <s v="Low Risk"/>
    <n v="62182.18"/>
    <n v="4610.1000000000004"/>
    <n v="66792.28"/>
    <n v="105634.04"/>
    <n v="105543.81"/>
    <n v="70654.52"/>
    <n v="1"/>
    <n v="79"/>
    <n v="26"/>
  </r>
  <r>
    <s v="170155819-01"/>
    <x v="21"/>
    <s v="1958-01-02"/>
    <s v="Spouse"/>
    <s v="800000032 - CITY OF VANCOUVER"/>
    <s v="10034258 - CITY OF VANCOUVER"/>
    <s v="0001 - CITY OF VANCOUVER ACTIVE NON-UNIFORMED"/>
    <s v="0001 - ACTIVE"/>
    <s v="RXES1001 - ASC Custom RX Plan 1"/>
    <s v="Yes"/>
    <s v="Diseases of the musculoskeletal system and connective tissue"/>
    <s v="Spondylopathies/spondyloarthropathy (including infective)"/>
    <s v="M47.22 - Other spondylosis with radiculopathy, cervical region"/>
    <s v="AREXVY"/>
    <s v="May 2024"/>
    <n v="2.36"/>
    <s v="Low Risk"/>
    <n v="62764.35"/>
    <n v="834.11"/>
    <n v="63598.46"/>
    <n v="93213.17"/>
    <n v="91815.77"/>
    <n v="66692.42"/>
    <n v="1"/>
    <n v="142"/>
    <n v="34"/>
  </r>
  <r>
    <s v="220288946-01"/>
    <x v="22"/>
    <s v="1959-11-07"/>
    <s v="Spouse"/>
    <s v="800000032 - CITY OF VANCOUVER"/>
    <s v="10034259 - VANCOUVER HOUSING AUTHORITY"/>
    <s v="0001 - VANCOUVER HOUSING AUTHORITY"/>
    <s v="0001 - ACTIVE"/>
    <s v="RXHS1001 - HSA RX Plan 1"/>
    <s v="Yes"/>
    <s v="Diseases of the musculoskeletal system and connective tissue"/>
    <s v="Osteoarthritis"/>
    <s v="M16.11 - Unilateral primary osteoarthritis, right hip"/>
    <s v="OZEMPIC"/>
    <s v="May 2024"/>
    <n v="4.04"/>
    <s v="Medium Risk"/>
    <n v="57035.12"/>
    <n v="5292.76"/>
    <n v="62327.88"/>
    <n v="78489.16"/>
    <n v="78471.41"/>
    <n v="66853.429999999993"/>
    <n v="0"/>
    <n v="86"/>
    <n v="44"/>
  </r>
  <r>
    <s v="170155584-00"/>
    <x v="23"/>
    <s v="1969-05-24"/>
    <s v="Subscriber"/>
    <s v="800000032 - CITY OF VANCOUVER"/>
    <s v="10034258 - CITY OF VANCOUVER"/>
    <s v="0005 - CITY OF VANCOUVER POLICE GUILD COMMAND"/>
    <s v="0011 - POLICE GUILD/COMMAND"/>
    <s v="MESA1001 - ASC Custom Product 1"/>
    <s v="Yes"/>
    <s v="Diseases of the respiratory system"/>
    <s v="Pleurisy, pleural effusion and pulmonary collapse"/>
    <s v="J90 - Pleural effusion, not elsewhere classified"/>
    <s v="ELIQUIS"/>
    <s v="Apr 2024"/>
    <n v="4.3899999999999997"/>
    <s v="Medium Risk"/>
    <n v="59284"/>
    <n v="2502.1999999999998"/>
    <n v="61786.2"/>
    <n v="22316.400000000001"/>
    <n v="69139.539999999994"/>
    <n v="63016.959999999999"/>
    <n v="1"/>
    <n v="65"/>
    <n v="28"/>
  </r>
  <r>
    <s v="220067761-02"/>
    <x v="24"/>
    <s v="1991-02-28"/>
    <s v="Dependent"/>
    <s v="800000032 - CITY OF VANCOUVER"/>
    <s v="10034258 - CITY OF VANCOUVER"/>
    <s v="0001 - CITY OF VANCOUVER ACTIVE NON-UNIFORMED"/>
    <s v="0001 - ACTIVE"/>
    <s v="RXES1001 - ASC Custom RX Plan 1"/>
    <s v="Yes"/>
    <s v="Mental, behavioral and neurodevelopmental disorders"/>
    <s v="Anxiety and fear-related disorders"/>
    <s v="F41.1 - Generalized anxiety disorder"/>
    <s v="ADBRY"/>
    <s v="May 2024"/>
    <n v="24.83"/>
    <s v="High Risk"/>
    <n v="4445.68"/>
    <n v="54263.64"/>
    <n v="58709.32"/>
    <n v="93800.69"/>
    <n v="93800.69"/>
    <n v="61967.8"/>
    <n v="0"/>
    <n v="28"/>
    <n v="80"/>
  </r>
  <r>
    <s v="170155860-00"/>
    <x v="25"/>
    <s v="1979-02-26"/>
    <s v="Subscriber"/>
    <s v="800000032 - CITY OF VANCOUVER"/>
    <s v="10034258 - CITY OF VANCOUVER"/>
    <s v="0005 - CITY OF VANCOUVER POLICE GUILD COMMAND"/>
    <s v="0011 - POLICE GUILD/COMMAND"/>
    <s v="MHSA1001 - HSA Medical Plan 1"/>
    <s v="Yes"/>
    <s v="Diseases of the musculoskeletal system and connective tissue"/>
    <s v="Osteoarthritis"/>
    <s v="M19.172 - Post-traumatic osteoarthritis, left ankle and foot"/>
    <s v="OXYCODONE HYDROCHLORIDE"/>
    <s v="May 2024"/>
    <n v="1.1399999999999999"/>
    <s v="Low Risk"/>
    <n v="58661.38"/>
    <n v="9.61"/>
    <n v="58670.99"/>
    <n v="85124.43"/>
    <n v="85124.43"/>
    <n v="63709.04"/>
    <n v="0"/>
    <n v="38"/>
    <n v="2"/>
  </r>
  <r>
    <s v="170155712-02"/>
    <x v="26"/>
    <s v="2006-03-22"/>
    <s v="Dependent"/>
    <s v="800000032 - CITY OF VANCOUVER"/>
    <s v="10034258 - CITY OF VANCOUVER"/>
    <s v="0001 - CITY OF VANCOUVER ACTIVE NON-UNIFORMED"/>
    <s v="0001 - ACTIVE"/>
    <s v="RXES1001 - ASC Custom RX Plan 1"/>
    <s v="Yes"/>
    <s v="Mental, behavioral and neurodevelopmental disorders"/>
    <s v="Depressive disorders"/>
    <s v="F33.2 - Major depressive disorder, recurrent severe without psychotic features"/>
    <s v="CLONIDINE HYDROCHLORIDE"/>
    <s v="May 2024"/>
    <n v="2.17"/>
    <s v="Low Risk"/>
    <n v="58326.65"/>
    <n v="144.72"/>
    <n v="58471.37"/>
    <n v="84616"/>
    <n v="84400.2"/>
    <n v="60670.2"/>
    <n v="2"/>
    <n v="54"/>
    <n v="22"/>
  </r>
  <r>
    <s v="170155712-01"/>
    <x v="27"/>
    <s v="1979-04-05"/>
    <s v="Spouse"/>
    <s v="800000032 - CITY OF VANCOUVER"/>
    <s v="10034258 - CITY OF VANCOUVER"/>
    <s v="0001 - CITY OF VANCOUVER ACTIVE NON-UNIFORMED"/>
    <s v="0001 - ACTIVE"/>
    <s v="RXES1001 - ASC Custom RX Plan 1"/>
    <s v="Yes"/>
    <s v="Diseases of the musculoskeletal system and connective tissue"/>
    <s v="Headache; including migraine"/>
    <s v="G43.719 - Chronic migraine without aura, intractable, without status migrainosus"/>
    <s v="JARDIANCE"/>
    <s v="May 2024"/>
    <n v="8.76"/>
    <s v="High Risk"/>
    <n v="44912.9"/>
    <n v="11063.56"/>
    <n v="55976.46"/>
    <n v="104096.02"/>
    <n v="104096.02"/>
    <n v="60577.31"/>
    <n v="0"/>
    <n v="376"/>
    <n v="97"/>
  </r>
  <r>
    <s v="170155800-01"/>
    <x v="28"/>
    <s v="1970-09-01"/>
    <s v="Spouse"/>
    <s v="800000032 - CITY OF VANCOUVER"/>
    <s v="10034258 - CITY OF VANCOUVER"/>
    <s v="0001 - CITY OF VANCOUVER ACTIVE NON-UNIFORMED"/>
    <s v="0001 - ACTIVE"/>
    <s v="RXES1001 - ASC Custom RX Plan 1"/>
    <s v="Yes"/>
    <s v="Diseases of the respiratory system"/>
    <s v="Asthma"/>
    <s v="J45.50 - Severe persistent asthma, uncomplicated"/>
    <s v="FASENRA PEN"/>
    <s v="May 2024"/>
    <n v="11.78"/>
    <s v="High Risk"/>
    <n v="18431.18"/>
    <n v="36445.43"/>
    <n v="54876.61"/>
    <n v="105738.51"/>
    <n v="108934.41"/>
    <n v="71987.38"/>
    <n v="0"/>
    <n v="104"/>
    <n v="98"/>
  </r>
  <r>
    <s v="190139718-00"/>
    <x v="29"/>
    <s v="1953-06-10"/>
    <s v="Subscriber"/>
    <s v="800000032 - CITY OF VANCOUVER"/>
    <s v="10034258 - CITY OF VANCOUVER"/>
    <s v="0001 - CITY OF VANCOUVER ACTIVE NON-UNIFORMED"/>
    <s v="0001 - ACTIVE"/>
    <s v="RXHS1001 - HSA RX Plan 1"/>
    <s v="Yes"/>
    <s v="Diseases of the musculoskeletal system and connective tissue"/>
    <s v="Osteoarthritis"/>
    <s v="M16.11 - Unilateral primary osteoarthritis, right hip"/>
    <s v="IPRATROPIUM BROMIDE"/>
    <s v="May 2024"/>
    <n v="2.58"/>
    <s v="Low Risk"/>
    <n v="50189.2"/>
    <n v="79.81"/>
    <n v="50269.01"/>
    <n v="71532.070000000007"/>
    <n v="71532.070000000007"/>
    <n v="55269.01"/>
    <n v="1"/>
    <n v="59"/>
    <n v="9"/>
  </r>
  <r>
    <s v="190001687-00"/>
    <x v="30"/>
    <s v="1973-11-28"/>
    <s v="Subscriber"/>
    <s v="800000032 - CITY OF VANCOUVER"/>
    <s v="10034258 - CITY OF VANCOUVER"/>
    <s v="0001 - CITY OF VANCOUVER ACTIVE NON-UNIFORMED"/>
    <s v="0001 - ACTIVE"/>
    <s v="RXES1001 - ASC Custom RX Plan 1"/>
    <s v="Yes"/>
    <s v="Diseases of the respiratory system"/>
    <s v="Sinusitis"/>
    <s v="J32.9 - Chronic sinusitis, unspecified"/>
    <s v="BUPROPION HYDROCHLORIDE ER (XL)"/>
    <s v="May 2024"/>
    <n v="3.04"/>
    <s v="Medium Risk"/>
    <n v="48900.81"/>
    <n v="1301.7"/>
    <n v="50202.51"/>
    <n v="109955.28"/>
    <n v="109687.37"/>
    <n v="52746.01"/>
    <n v="0"/>
    <n v="114"/>
    <n v="46"/>
  </r>
  <r>
    <s v="170155632-01"/>
    <x v="31"/>
    <s v="1962-02-25"/>
    <s v="Spouse"/>
    <s v="800000032 - CITY OF VANCOUVER"/>
    <s v="10034258 - CITY OF VANCOUVER"/>
    <s v="0001 - CITY OF VANCOUVER ACTIVE NON-UNIFORMED"/>
    <s v="0001 - ACTIVE"/>
    <s v="RXES1001 - ASC Custom RX Plan 1"/>
    <s v="Yes"/>
    <s v="Mental, behavioral and neurodevelopmental disorders"/>
    <s v="Trauma- and stressor-related disorders"/>
    <s v="F43.10 - Post-traumatic stress disorder, unspecified"/>
    <s v="AUVELITY"/>
    <s v="May 2024"/>
    <n v="6.18"/>
    <s v="Medium Risk"/>
    <n v="34239.949999999997"/>
    <n v="15089.32"/>
    <n v="49329.27"/>
    <n v="75715.179999999993"/>
    <n v="75807.179999999993"/>
    <n v="52242.07"/>
    <n v="0"/>
    <n v="312"/>
    <n v="55"/>
  </r>
  <r>
    <s v="210110644-00"/>
    <x v="32"/>
    <s v="1966-01-25"/>
    <s v="Subscriber"/>
    <s v="800000032 - CITY OF VANCOUVER"/>
    <s v="10034258 - CITY OF VANCOUVER"/>
    <s v="0001 - CITY OF VANCOUVER ACTIVE NON-UNIFORMED"/>
    <s v="0001 - ACTIVE"/>
    <s v="RXES1001 - ASC Custom RX Plan 1"/>
    <s v="Yes"/>
    <s v="Diseases of the musculoskeletal system and connective tissue"/>
    <s v="Osteoarthritis"/>
    <s v="M19.90 - Unspecified osteoarthritis, unspecified site"/>
    <s v="HUMIRA PEN"/>
    <s v="May 2024"/>
    <n v="15.09"/>
    <s v="High Risk"/>
    <n v="12076.25"/>
    <n v="37234.43"/>
    <n v="49310.68"/>
    <n v="75758.55"/>
    <n v="75758.55"/>
    <n v="55442.04"/>
    <n v="0"/>
    <n v="112"/>
    <n v="27"/>
  </r>
  <r>
    <s v="170155708-01"/>
    <x v="33"/>
    <s v="1973-03-05"/>
    <s v="Spouse"/>
    <s v="800000032 - CITY OF VANCOUVER"/>
    <s v="10034258 - CITY OF VANCOUVER"/>
    <s v="0001 - CITY OF VANCOUVER ACTIVE NON-UNIFORMED"/>
    <s v="0001 - ACTIVE"/>
    <s v="RXES1001 - ASC Custom RX Plan 1"/>
    <s v="Yes"/>
    <s v="Injury, poisoning and certain other consequences of external causes"/>
    <s v="Fracture of the lower limb (except hip), initial encounter"/>
    <s v="S82.51xA - Displaced fracture of medial malleolus of right tibia, initial encounter for closed fracture"/>
    <s v="ELIQUIS"/>
    <s v="May 2024"/>
    <n v="1.41"/>
    <s v="Low Risk"/>
    <n v="47214.2"/>
    <n v="1465.87"/>
    <n v="48680.07"/>
    <n v="108221.37"/>
    <n v="107914.37"/>
    <n v="51585.18"/>
    <n v="0"/>
    <n v="114"/>
    <n v="32"/>
  </r>
  <r>
    <s v="170155609-02"/>
    <x v="34"/>
    <s v="2004-05-13"/>
    <s v="Dependent"/>
    <s v="800000032 - CITY OF VANCOUVER"/>
    <s v="10034258 - CITY OF VANCOUVER"/>
    <s v="0005 - CITY OF VANCOUVER POLICE GUILD COMMAND"/>
    <s v="0011 - POLICE GUILD/COMMAND"/>
    <s v="RXES1001 - ASC Custom RX Plan 1"/>
    <s v="Yes"/>
    <s v="Mental, behavioral and neurodevelopmental disorders"/>
    <s v="Depressive disorders"/>
    <s v="F33.1 - Major depressive disorder, recurrent, moderate"/>
    <s v="FLUVOXAMINE MALEATE ER"/>
    <s v="May 2024"/>
    <n v="3.71"/>
    <s v="Medium Risk"/>
    <n v="45046.61"/>
    <n v="2590.0300000000002"/>
    <n v="47636.639999999999"/>
    <n v="97069.13"/>
    <n v="90594.47"/>
    <n v="51246.22"/>
    <n v="0"/>
    <n v="144"/>
    <n v="64"/>
  </r>
  <r>
    <s v="170156021-00"/>
    <x v="35"/>
    <s v="1959-06-02"/>
    <s v="Subscriber"/>
    <s v="800000032 - CITY OF VANCOUVER"/>
    <s v="10034259 - VANCOUVER HOUSING AUTHORITY"/>
    <s v="0001 - VANCOUVER HOUSING AUTHORITY"/>
    <s v="0001 - ACTIVE"/>
    <s v="RXES2001 - ASC Custom RX Plan 2"/>
    <s v="Yes"/>
    <s v="Diseases of the digestive system"/>
    <s v="Biliary tract disease"/>
    <s v="K81.0 - Acute cholecystitis"/>
    <s v="AREXVY"/>
    <s v="May 2024"/>
    <n v="1.38"/>
    <s v="Low Risk"/>
    <n v="46787.08"/>
    <n v="609.32000000000005"/>
    <n v="47396.4"/>
    <n v="87512.55"/>
    <n v="87512.55"/>
    <n v="50416.160000000003"/>
    <n v="0"/>
    <n v="198"/>
    <n v="19"/>
  </r>
  <r>
    <s v="220049384-01"/>
    <x v="36"/>
    <s v="1973-05-20"/>
    <s v="Spouse"/>
    <s v="800000032 - CITY OF VANCOUVER"/>
    <s v="10034258 - CITY OF VANCOUVER"/>
    <s v="0001 - CITY OF VANCOUVER ACTIVE NON-UNIFORMED"/>
    <s v="0001 - ACTIVE"/>
    <s v="MESA1001 - ASC Custom Product 1"/>
    <s v="Yes"/>
    <s v="Certain infectious and parasitic diseases"/>
    <s v="Septicemia"/>
    <s v="A41.9 - Sepsis, unspecified organism"/>
    <s v="COMIRNATY 2023-24"/>
    <s v="Mar 2024"/>
    <n v="1.04"/>
    <s v="Low Risk"/>
    <n v="46824.32"/>
    <n v="296.52"/>
    <n v="47120.84"/>
    <n v="74115.34"/>
    <n v="73863.820000000007"/>
    <n v="49498.76"/>
    <n v="1"/>
    <n v="107"/>
    <n v="5"/>
  </r>
  <r>
    <s v="170155874-00"/>
    <x v="37"/>
    <s v="1961-08-06"/>
    <s v="Subscriber"/>
    <s v="800000032 - CITY OF VANCOUVER"/>
    <s v="10034258 - CITY OF VANCOUVER"/>
    <s v="0001 - CITY OF VANCOUVER ACTIVE NON-UNIFORMED"/>
    <s v="0001 - ACTIVE"/>
    <s v="RXHS1001 - HSA RX Plan 1"/>
    <s v="Yes"/>
    <s v="Diseases of the respiratory system"/>
    <s v="Sinusitis"/>
    <s v="J32.0 - Chronic maxillary sinusitis"/>
    <s v="BUDESONIDE"/>
    <s v="May 2024"/>
    <n v="1.63"/>
    <s v="Low Risk"/>
    <n v="45640.3"/>
    <n v="1003.87"/>
    <n v="46644.17"/>
    <n v="64038.91"/>
    <n v="64038.91"/>
    <n v="52352.65"/>
    <n v="0"/>
    <n v="35"/>
    <n v="17"/>
  </r>
  <r>
    <s v="170155598-00"/>
    <x v="38"/>
    <s v="1954-08-10"/>
    <s v="Subscriber"/>
    <s v="800000032 - CITY OF VANCOUVER"/>
    <s v="10034258 - CITY OF VANCOUVER"/>
    <s v="0001 - CITY OF VANCOUVER ACTIVE NON-UNIFORMED"/>
    <s v="0001 - ACTIVE"/>
    <s v="RXES1001 - ASC Custom RX Plan 1"/>
    <s v="Yes"/>
    <s v="Diseases of the musculoskeletal system and connective tissue"/>
    <s v="Other specified chronic arthropathy"/>
    <s v="L40.50 - Arthropathic psoriasis, unspecified"/>
    <s v="COSENTYX SENSOREADY PEN"/>
    <s v="May 2024"/>
    <n v="28.19"/>
    <s v="High Risk"/>
    <n v="4883.1899999999996"/>
    <n v="41357.17"/>
    <n v="46240.36"/>
    <n v="92871.31"/>
    <n v="92871.31"/>
    <n v="69225.11"/>
    <n v="0"/>
    <n v="40"/>
    <n v="47"/>
  </r>
  <r>
    <s v="210159655-03"/>
    <x v="39"/>
    <s v="2005-11-04"/>
    <s v="Dependent"/>
    <s v="800000032 - CITY OF VANCOUVER"/>
    <s v="10034258 - CITY OF VANCOUVER"/>
    <s v="0001 - CITY OF VANCOUVER ACTIVE NON-UNIFORMED"/>
    <s v="0001 - ACTIVE"/>
    <s v="MESA1001 - ASC Custom Product 1"/>
    <s v="Yes"/>
    <s v="Mental, behavioral and neurodevelopmental disorders"/>
    <s v="Miscellaneous mental and behavioral disorders/conditions"/>
    <s v="F64.0 - Transsexualism"/>
    <s v="NORETHINDRONE ACETATE"/>
    <s v="May 2024"/>
    <n v="1.1599999999999999"/>
    <s v="Low Risk"/>
    <n v="45464.88"/>
    <n v="277.01"/>
    <n v="45741.89"/>
    <n v="49419.51"/>
    <n v="49576.51"/>
    <n v="47324.74"/>
    <n v="0"/>
    <n v="54"/>
    <n v="10"/>
  </r>
  <r>
    <s v="220308433-01"/>
    <x v="40"/>
    <s v="1987-10-01"/>
    <s v="Spouse"/>
    <s v="800000032 - CITY OF VANCOUVER"/>
    <s v="10034258 - CITY OF VANCOUVER"/>
    <s v="0005 - CITY OF VANCOUVER POLICE GUILD COMMAND"/>
    <s v="0011 - POLICE GUILD/COMMAND"/>
    <s v="RXES1001 - ASC Custom RX Plan 1"/>
    <s v="Yes"/>
    <s v="Pregnancy, childbirth and the puerperium"/>
    <s v="Polyhydramnios and other problems of amniotic cavity"/>
    <s v="O41.03x0 - Oligohydramnios, third trimester, not applicable or unspecified"/>
    <s v="INCASSIA"/>
    <s v="Apr 2024"/>
    <n v="1.04"/>
    <s v="Low Risk"/>
    <n v="45055.23"/>
    <n v="165.87"/>
    <n v="45221.1"/>
    <n v="71991.25"/>
    <n v="71102.25"/>
    <n v="46996.77"/>
    <n v="2"/>
    <n v="123"/>
    <n v="12"/>
  </r>
  <r>
    <s v="170155777-00"/>
    <x v="41"/>
    <s v="1955-06-22"/>
    <s v="Subscriber"/>
    <s v="800000032 - CITY OF VANCOUVER"/>
    <s v="10034258 - CITY OF VANCOUVER"/>
    <s v="0001 - CITY OF VANCOUVER ACTIVE NON-UNIFORMED"/>
    <s v="0001 - ACTIVE"/>
    <s v="RXES1001 - ASC Custom RX Plan 1"/>
    <s v="No"/>
    <s v="Diseases of the musculoskeletal system and connective tissue"/>
    <s v="Osteoarthritis"/>
    <s v="M16.12 - Unilateral primary osteoarthritis, left hip"/>
    <s v="EPINEPHRINE"/>
    <s v="Mar 2024"/>
    <m/>
    <s v="N/A"/>
    <n v="43228.42"/>
    <n v="1033.98"/>
    <n v="44262.400000000001"/>
    <n v="64523.53"/>
    <n v="64385.53"/>
    <n v="46414.95"/>
    <n v="0"/>
    <n v="127"/>
    <n v="58"/>
  </r>
  <r>
    <s v="210133437-01"/>
    <x v="42"/>
    <s v="1972-05-22"/>
    <s v="Spouse"/>
    <s v="800000032 - CITY OF VANCOUVER"/>
    <s v="10034258 - CITY OF VANCOUVER"/>
    <s v="0001 - CITY OF VANCOUVER ACTIVE NON-UNIFORMED"/>
    <s v="0001 - ACTIVE"/>
    <s v="RXES1001 - ASC Custom RX Plan 1"/>
    <s v="Yes"/>
    <s v="Diseases of the genitourinary system"/>
    <s v="Prolapse of female genital organs"/>
    <s v="N81.4 - Uterovaginal prolapse, unspecified"/>
    <s v="AMPHETAMINE/DEXTROAMPHETAMINE"/>
    <s v="May 2024"/>
    <n v="1.97"/>
    <s v="Low Risk"/>
    <n v="41887.769999999997"/>
    <n v="726.1"/>
    <n v="42613.87"/>
    <n v="135433.63"/>
    <n v="121280.73"/>
    <n v="46644.15"/>
    <n v="0"/>
    <n v="126"/>
    <n v="42"/>
  </r>
  <r>
    <s v="170155653-00"/>
    <x v="43"/>
    <s v="1982-02-08"/>
    <s v="Subscriber"/>
    <s v="800000032 - CITY OF VANCOUVER"/>
    <s v="10034258 - CITY OF VANCOUVER"/>
    <s v="0005 - CITY OF VANCOUVER POLICE GUILD COMMAND"/>
    <s v="0011 - POLICE GUILD/COMMAND"/>
    <s v="RXES1001 - ASC Custom RX Plan 1"/>
    <s v="Yes"/>
    <s v="Diseases of the circulatory system"/>
    <s v="Hypertension with complications and secondary hypertension"/>
    <s v="I16.0 - Hypertensive urgency"/>
    <s v="ENTRESTO"/>
    <s v="Apr 2024"/>
    <n v="4.13"/>
    <s v="Medium Risk"/>
    <n v="39703.19"/>
    <n v="2499.23"/>
    <n v="42202.42"/>
    <n v="59446.48"/>
    <n v="59446.48"/>
    <n v="44502.42"/>
    <n v="1"/>
    <n v="107"/>
    <n v="8"/>
  </r>
  <r>
    <s v="170156239-02"/>
    <x v="44"/>
    <s v="1998-07-08"/>
    <s v="Dependent"/>
    <s v="800000032 - CITY OF VANCOUVER"/>
    <s v="10034258 - CITY OF VANCOUVER"/>
    <s v="0001 - CITY OF VANCOUVER ACTIVE NON-UNIFORMED"/>
    <s v="0001 - ACTIVE"/>
    <s v="RXES1001 - ASC Custom RX Plan 1"/>
    <s v="Yes"/>
    <s v="Pregnancy, childbirth and the puerperium"/>
    <s v="Other specified complications in pregnancy"/>
    <s v="O21.1 - Hyperemesis gravidarum with metabolic disturbance"/>
    <s v="PROMETHEGAN"/>
    <s v="May 2024"/>
    <n v="6.37"/>
    <s v="Medium Risk"/>
    <n v="40475.72"/>
    <n v="552.49"/>
    <n v="41028.21"/>
    <n v="88353.07"/>
    <n v="88353.07"/>
    <n v="43335.89"/>
    <n v="1"/>
    <n v="91"/>
    <n v="18"/>
  </r>
  <r>
    <s v="170155997-00"/>
    <x v="45"/>
    <s v="1960-07-18"/>
    <s v="Subscriber"/>
    <s v="800000032 - CITY OF VANCOUVER"/>
    <s v="10034259 - VANCOUVER HOUSING AUTHORITY"/>
    <s v="0001 - VANCOUVER HOUSING AUTHORITY"/>
    <s v="0001 - ACTIVE"/>
    <s v="RXES2001 - ASC Custom RX Plan 2"/>
    <s v="Yes"/>
    <s v="External causes of morbidity"/>
    <s v="External cause codes: other specified, classifiable and NEC; initial encounter"/>
    <s v="T16.2xxA - Foreign body in left ear, initial encounter"/>
    <s v="SKYRIZI PEN"/>
    <s v="Apr 2024"/>
    <n v="16.829999999999998"/>
    <s v="High Risk"/>
    <n v="274.60000000000002"/>
    <n v="40538.699999999997"/>
    <n v="40813.300000000003"/>
    <n v="50115.56"/>
    <n v="50115.56"/>
    <n v="41021.26"/>
    <n v="0"/>
    <n v="2"/>
    <n v="5"/>
  </r>
  <r>
    <s v="190221958-01"/>
    <x v="46"/>
    <s v="1982-08-22"/>
    <s v="Spouse"/>
    <s v="800000032 - CITY OF VANCOUVER"/>
    <s v="10034258 - CITY OF VANCOUVER"/>
    <s v="0001 - CITY OF VANCOUVER ACTIVE NON-UNIFORMED"/>
    <s v="0001 - ACTIVE"/>
    <s v="RXES1001 - ASC Custom RX Plan 1"/>
    <s v="Yes"/>
    <s v="Diseases of the digestive system"/>
    <s v="Intestinal obstruction and ileus"/>
    <s v="K56.600 - Partial intestinal obstruction, unspecified as to cause"/>
    <s v="LINZESS"/>
    <s v="May 2024"/>
    <n v="4.1100000000000003"/>
    <s v="Medium Risk"/>
    <n v="35592.54"/>
    <n v="4908.1499999999996"/>
    <n v="40500.69"/>
    <n v="62126.9"/>
    <n v="62126.9"/>
    <n v="44413.06"/>
    <n v="1"/>
    <n v="233"/>
    <n v="46"/>
  </r>
  <r>
    <s v="220288871-00"/>
    <x v="47"/>
    <s v="1972-06-12"/>
    <s v="Subscriber"/>
    <s v="800000032 - CITY OF VANCOUVER"/>
    <s v="10034258 - CITY OF VANCOUVER"/>
    <s v="0001 - CITY OF VANCOUVER ACTIVE NON-UNIFORMED"/>
    <s v="0001 - ACTIVE"/>
    <s v="RXHS1001 - HSA RX Plan 1"/>
    <s v="Yes"/>
    <s v="Diseases of the digestive system"/>
    <s v="Regional enteritis and ulcerative colitis"/>
    <s v="K51.00 - Ulcerative (chronic) pancolitis without complications"/>
    <s v="LEVOTHYROXINE SODIUM"/>
    <s v="Apr 2024"/>
    <n v="7.23"/>
    <s v="Medium Risk"/>
    <n v="40065.769999999997"/>
    <n v="116.52"/>
    <n v="40182.29"/>
    <n v="71304.649999999994"/>
    <n v="71304.649999999994"/>
    <n v="45503.6"/>
    <n v="0"/>
    <n v="61"/>
    <n v="8"/>
  </r>
  <r>
    <s v="180153790-00"/>
    <x v="48"/>
    <s v="1980-07-22"/>
    <s v="Subscriber"/>
    <s v="800000032 - CITY OF VANCOUVER"/>
    <s v="10034258 - CITY OF VANCOUVER"/>
    <s v="0001 - CITY OF VANCOUVER ACTIVE NON-UNIFORMED"/>
    <s v="0001 - ACTIVE"/>
    <s v="RXES1001 - ASC Custom RX Plan 1"/>
    <s v="Yes"/>
    <s v="Endocrine, nutritional and metabolic diseases"/>
    <s v="Fluid and electrolyte disorders"/>
    <s v="E86.0 - Dehydration"/>
    <s v="DIFICID"/>
    <s v="May 2024"/>
    <n v="4.9400000000000004"/>
    <s v="Medium Risk"/>
    <n v="34363.53"/>
    <n v="5104.96"/>
    <n v="39468.49"/>
    <n v="70483.899999999994"/>
    <n v="70483.899999999994"/>
    <n v="40074.06"/>
    <n v="1"/>
    <n v="94"/>
    <n v="35"/>
  </r>
  <r>
    <s v="230025501-00"/>
    <x v="49"/>
    <s v="1983-04-02"/>
    <s v="Subscriber"/>
    <s v="800000032 - CITY OF VANCOUVER"/>
    <s v="10034259 - VANCOUVER HOUSING AUTHORITY"/>
    <s v="0001 - VANCOUVER HOUSING AUTHORITY"/>
    <s v="0001 - ACTIVE"/>
    <s v="RXHS1001 - HSA RX Plan 1"/>
    <s v="Yes"/>
    <s v="Mental, behavioral and neurodevelopmental disorders"/>
    <s v="Depressive disorders"/>
    <s v="F33.2 - Major depressive disorder, recurrent severe without psychotic features"/>
    <s v="REXULTI"/>
    <s v="May 2024"/>
    <m/>
    <s v="N/A"/>
    <n v="25292.43"/>
    <n v="13883.62"/>
    <n v="39176.050000000003"/>
    <n v="67760.2"/>
    <n v="67059.199999999997"/>
    <n v="46326.7"/>
    <n v="1"/>
    <n v="73"/>
    <n v="85"/>
  </r>
  <r>
    <s v="170261991-00"/>
    <x v="50"/>
    <s v="1961-05-09"/>
    <s v="Subscriber"/>
    <s v="800000032 - CITY OF VANCOUVER"/>
    <s v="10034258 - CITY OF VANCOUVER"/>
    <s v="0004 - CITY OF VANCOUVER COBRA"/>
    <s v="0008 - ACTIVE COBRA"/>
    <s v="RXES1001 - ASC Custom RX Plan 1"/>
    <s v="Yes"/>
    <s v="Diseases of the musculoskeletal system and connective tissue"/>
    <s v="Thyroid disorders"/>
    <s v="E06.3 - Autoimmune thyroiditis"/>
    <s v="DUPIXENT"/>
    <s v="May 2024"/>
    <n v="18.27"/>
    <s v="High Risk"/>
    <n v="4751.0200000000004"/>
    <n v="33978.300000000003"/>
    <n v="38729.32"/>
    <n v="66979.62"/>
    <n v="64251.62"/>
    <n v="46603.040000000001"/>
    <n v="0"/>
    <n v="86"/>
    <n v="36"/>
  </r>
  <r>
    <s v="170155656-00"/>
    <x v="51"/>
    <s v="1963-02-21"/>
    <s v="Subscriber"/>
    <s v="800000032 - CITY OF VANCOUVER"/>
    <s v="10034258 - CITY OF VANCOUVER"/>
    <s v="0001 - CITY OF VANCOUVER ACTIVE NON-UNIFORMED"/>
    <s v="0001 - ACTIVE"/>
    <s v="RXES1001 - ASC Custom RX Plan 1"/>
    <s v="Yes"/>
    <s v="Endocrine, nutritional and metabolic diseases"/>
    <s v="Diabetes mellitus with complication"/>
    <s v="E10.36 - Type 1 diabetes mellitus with diabetic cataract"/>
    <s v="HUMALOG"/>
    <s v="May 2024"/>
    <n v="4.63"/>
    <s v="Medium Risk"/>
    <n v="22282.89"/>
    <n v="16126.13"/>
    <n v="38409.019999999997"/>
    <n v="64706.66"/>
    <n v="64706.66"/>
    <n v="43018.38"/>
    <n v="0"/>
    <n v="78"/>
    <n v="59"/>
  </r>
  <r>
    <s v="210222779-01"/>
    <x v="52"/>
    <s v="1996-09-05"/>
    <s v="Spouse"/>
    <s v="800000032 - CITY OF VANCOUVER"/>
    <s v="10034258 - CITY OF VANCOUVER"/>
    <s v="0001 - CITY OF VANCOUVER ACTIVE NON-UNIFORMED"/>
    <s v="0001 - ACTIVE"/>
    <s v="RXHS1001 - HSA RX Plan 1"/>
    <s v="Yes"/>
    <s v="Neoplasms"/>
    <s v="Endocrine system cancers - thyroid"/>
    <s v="C73 - Malignant neoplasm of thyroid gland"/>
    <s v="CALCITRIOL"/>
    <s v="May 2024"/>
    <n v="2.67"/>
    <s v="Medium Risk"/>
    <n v="36087.22"/>
    <n v="1193.81"/>
    <n v="37281.03"/>
    <n v="65413"/>
    <n v="65413"/>
    <n v="41305.300000000003"/>
    <n v="0"/>
    <n v="62"/>
    <n v="41"/>
  </r>
  <r>
    <s v="170155723-00"/>
    <x v="53"/>
    <s v="1964-06-08"/>
    <s v="Subscriber"/>
    <s v="800000032 - CITY OF VANCOUVER"/>
    <s v="10034258 - CITY OF VANCOUVER"/>
    <s v="0001 - CITY OF VANCOUVER ACTIVE NON-UNIFORMED"/>
    <s v="0001 - ACTIVE"/>
    <s v="RXES1001 - ASC Custom RX Plan 1"/>
    <s v="Yes"/>
    <s v="Diseases of the musculoskeletal system and connective tissue"/>
    <s v="Osteoarthritis"/>
    <s v="M17.11 - Unilateral primary osteoarthritis, right knee"/>
    <s v="SODIUM SULFATE/POTASSIUMSULFATE/MAGNESIUM SULFATE"/>
    <s v="Apr 2024"/>
    <n v="1.24"/>
    <s v="Low Risk"/>
    <n v="37115.18"/>
    <n v="153.47"/>
    <n v="37268.65"/>
    <n v="59334.95"/>
    <n v="59082.95"/>
    <n v="39279.760000000002"/>
    <n v="0"/>
    <n v="95"/>
    <n v="11"/>
  </r>
  <r>
    <s v="190147902-03"/>
    <x v="54"/>
    <s v="1966-08-30"/>
    <s v="Spouse"/>
    <s v="800000032 - CITY OF VANCOUVER"/>
    <s v="10034258 - CITY OF VANCOUVER"/>
    <s v="0001 - CITY OF VANCOUVER ACTIVE NON-UNIFORMED"/>
    <s v="0001 - ACTIVE"/>
    <s v="RXES1001 - ASC Custom RX Plan 1"/>
    <s v="No"/>
    <s v="Diseases of the genitourinary system"/>
    <s v="Other specified and unspecified diseases of bladder and urethra"/>
    <s v="N32.81 - Overactive bladder"/>
    <s v="VUMERITY"/>
    <s v="Sep 2023"/>
    <m/>
    <s v="N/A"/>
    <n v="3424.55"/>
    <n v="33550.44"/>
    <n v="36974.99"/>
    <n v="46395.55"/>
    <n v="46395.55"/>
    <n v="37988.61"/>
    <n v="0"/>
    <n v="18"/>
    <n v="10"/>
  </r>
  <r>
    <s v="170155790-00"/>
    <x v="55"/>
    <s v="1971-11-22"/>
    <s v="Subscriber"/>
    <s v="800000032 - CITY OF VANCOUVER"/>
    <s v="10034258 - CITY OF VANCOUVER"/>
    <s v="0005 - CITY OF VANCOUVER POLICE GUILD COMMAND"/>
    <s v="0011 - POLICE GUILD/COMMAND"/>
    <s v="RXES1001 - ASC Custom RX Plan 1"/>
    <s v="Yes"/>
    <s v="Diseases of the musculoskeletal system and connective tissue"/>
    <s v="Osteoarthritis"/>
    <s v="M17.11 - Unilateral primary osteoarthritis, right knee"/>
    <s v="SUMATRIPTAN SUCCINATE"/>
    <s v="May 2024"/>
    <n v="1.77"/>
    <s v="Low Risk"/>
    <n v="36762.75"/>
    <n v="101.79"/>
    <n v="36864.54"/>
    <n v="54870.03"/>
    <n v="54870.03"/>
    <n v="38939.14"/>
    <n v="0"/>
    <n v="68"/>
    <n v="16"/>
  </r>
  <r>
    <s v="170155650-00"/>
    <x v="56"/>
    <s v="1963-01-03"/>
    <s v="Subscriber"/>
    <s v="800000032 - CITY OF VANCOUVER"/>
    <s v="10034258 - CITY OF VANCOUVER"/>
    <s v="0001 - CITY OF VANCOUVER ACTIVE NON-UNIFORMED"/>
    <s v="0001 - ACTIVE"/>
    <s v="MESA1001 - ASC Custom Product 1"/>
    <s v="Yes"/>
    <s v="Diseases of the digestive system"/>
    <s v="Biliary tract disease"/>
    <s v="K80.65 - Calculus of gallbladder and bile duct with chronic cholecystitis with obstruction"/>
    <s v="AMOXICILLIN/CLAVULANATE POTASSIUM"/>
    <s v="May 2024"/>
    <n v="0.75"/>
    <s v="Low Risk"/>
    <n v="36807.199999999997"/>
    <n v="12.39"/>
    <n v="36819.589999999997"/>
    <n v="84018.559999999998"/>
    <n v="84018.559999999998"/>
    <n v="38983.42"/>
    <n v="1"/>
    <n v="66"/>
    <n v="2"/>
  </r>
  <r>
    <s v="210272841-03"/>
    <x v="57"/>
    <s v="2000-04-12"/>
    <s v="Dependent"/>
    <s v="800000032 - CITY OF VANCOUVER"/>
    <s v="10034258 - CITY OF VANCOUVER"/>
    <s v="0001 - CITY OF VANCOUVER ACTIVE NON-UNIFORMED"/>
    <s v="0001 - ACTIVE"/>
    <s v="MESA1001 - ASC Custom Product 1"/>
    <s v="No"/>
    <s v="Diseases of the nervous system"/>
    <s v="Epilepsy; convulsions"/>
    <s v="G40.219 - Localization-related (focal) (partial) symptomatic epilepsy and epileptic syndromes with complex partial seizures, intractable, without status epilepticus"/>
    <m/>
    <s v="Dec 2023"/>
    <m/>
    <s v="N/A"/>
    <n v="36658.879999999997"/>
    <m/>
    <n v="36658.879999999997"/>
    <n v="222003.65"/>
    <n v="220454.64"/>
    <n v="105996.62"/>
    <n v="1"/>
    <n v="24"/>
    <n v="0"/>
  </r>
  <r>
    <s v="170156010-00"/>
    <x v="58"/>
    <s v="1958-12-05"/>
    <s v="Subscriber"/>
    <s v="800000032 - CITY OF VANCOUVER"/>
    <s v="10034259 - VANCOUVER HOUSING AUTHORITY"/>
    <s v="0001 - VANCOUVER HOUSING AUTHORITY"/>
    <s v="0002 - COBRA"/>
    <s v="RXES2001 - ASC Custom RX Plan 2"/>
    <s v="No"/>
    <s v="Diseases of the nervous system"/>
    <s v="Sleep wake disorders"/>
    <s v="G47.33 - Obstructive sleep apnea (adult) (pediatric)"/>
    <s v="BIKTARVY"/>
    <s v="Feb 2024"/>
    <m/>
    <s v="N/A"/>
    <n v="2132.5500000000002"/>
    <n v="33489.339999999997"/>
    <n v="35621.89"/>
    <n v="53762"/>
    <n v="53762"/>
    <n v="36485.050000000003"/>
    <n v="0"/>
    <n v="14"/>
    <n v="14"/>
  </r>
  <r>
    <s v="170155647-00"/>
    <x v="59"/>
    <s v="1965-10-31"/>
    <s v="Subscriber"/>
    <s v="800000032 - CITY OF VANCOUVER"/>
    <s v="10034258 - CITY OF VANCOUVER"/>
    <s v="0001 - CITY OF VANCOUVER ACTIVE NON-UNIFORMED"/>
    <s v="0001 - ACTIVE"/>
    <s v="MESA1001 - ASC Custom Product 1"/>
    <s v="Yes"/>
    <s v="Neoplasms"/>
    <s v="Gastrointestinal cancers - colorectal"/>
    <s v="C18.2 - Malignant neoplasm of ascending colon"/>
    <s v="PEG-3350/NACL/NA BICARBONATE/KCL"/>
    <s v="Apr 2024"/>
    <n v="23.11"/>
    <s v="High Risk"/>
    <n v="33839.629999999997"/>
    <n v="138.34"/>
    <n v="33977.97"/>
    <n v="45161.39"/>
    <n v="44790.39"/>
    <n v="36278.99"/>
    <n v="0"/>
    <n v="48"/>
    <n v="6"/>
  </r>
  <r>
    <s v="210074505-01"/>
    <x v="60"/>
    <s v="1983-02-01"/>
    <s v="Spouse"/>
    <s v="800000032 - CITY OF VANCOUVER"/>
    <s v="10034258 - CITY OF VANCOUVER"/>
    <s v="0001 - CITY OF VANCOUVER ACTIVE NON-UNIFORMED"/>
    <s v="0001 - ACTIVE"/>
    <s v="RXES1001 - ASC Custom RX Plan 1"/>
    <s v="Yes"/>
    <s v="Diseases of the nervous system"/>
    <s v="Headache; including migraine"/>
    <s v="G43.719 - Chronic migraine without aura, intractable, without status migrainosus"/>
    <s v="SPIKEVAX COVID-19 VACCINE/2023-24"/>
    <s v="May 2024"/>
    <n v="3.45"/>
    <s v="Medium Risk"/>
    <n v="33673.24"/>
    <n v="252.76"/>
    <n v="33926"/>
    <n v="61093.19"/>
    <n v="60350.69"/>
    <n v="35985.18"/>
    <n v="0"/>
    <n v="228"/>
    <n v="16"/>
  </r>
  <r>
    <s v="*****"/>
    <x v="13"/>
    <s v="*****"/>
    <s v="Spouse"/>
    <s v="800000032 - CITY OF VANCOUVER"/>
    <s v="10034258 - CITY OF VANCOUVER"/>
    <s v="0001 - CITY OF VANCOUVER ACTIVE NON-UNIFORMED"/>
    <s v="0001 - ACTIVE"/>
    <s v="RXES1001 - ASC Custom RX Plan 1"/>
    <s v="Yes"/>
    <s v="Diseases of the musculoskeletal system and connective tissue"/>
    <s v="Spondylopathies/spondyloarthropathy (including infective)"/>
    <s v="R10.9 - Unspecified abdominal pain"/>
    <s v="!"/>
    <s v="May 2024"/>
    <n v="6.5"/>
    <s v="Medium Risk"/>
    <n v="30263.21"/>
    <n v="2061.64"/>
    <n v="32324.85"/>
    <n v="91366.13"/>
    <n v="88114.43"/>
    <n v="33854.400000000001"/>
    <n v="0"/>
    <n v="115"/>
    <n v="30"/>
  </r>
  <r>
    <s v="170197042-00"/>
    <x v="61"/>
    <s v="1969-02-18"/>
    <s v="Subscriber"/>
    <s v="800000032 - CITY OF VANCOUVER"/>
    <s v="10034258 - CITY OF VANCOUVER"/>
    <s v="0005 - CITY OF VANCOUVER POLICE GUILD COMMAND"/>
    <s v="0011 - POLICE GUILD/COMMAND"/>
    <s v="MESA1001 - ASC Custom Product 1"/>
    <s v="No"/>
    <s v="Diseases of the musculoskeletal system and connective tissue"/>
    <s v="Spondylopathies/spondyloarthropathy (including infective)"/>
    <s v="M47.812 - Spondylosis without myelopathy or radiculopathy, cervical region"/>
    <s v="FARXIGA"/>
    <s v="Mar 2024"/>
    <m/>
    <s v="N/A"/>
    <n v="25433.5"/>
    <n v="6396.21"/>
    <n v="31829.71"/>
    <n v="61963.68"/>
    <n v="60439.68"/>
    <n v="34174.370000000003"/>
    <n v="0"/>
    <n v="90"/>
    <n v="48"/>
  </r>
  <r>
    <s v="170155644-00"/>
    <x v="62"/>
    <s v="1979-04-01"/>
    <s v="Subscriber"/>
    <s v="800000032 - CITY OF VANCOUVER"/>
    <s v="10034258 - CITY OF VANCOUVER"/>
    <s v="0005 - CITY OF VANCOUVER POLICE GUILD COMMAND"/>
    <s v="0011 - POLICE GUILD/COMMAND"/>
    <s v="MESA1001 - ASC Custom Product 1"/>
    <s v="Yes"/>
    <s v="Injury, poisoning and certain other consequences of external causes"/>
    <s v="Sprains and strains, initial encounter"/>
    <s v="S29.011A - Strain of muscle and tendon of front wall of thorax, initial encounter"/>
    <s v="TESTOSTERONE CYPIONATE"/>
    <s v="May 2024"/>
    <n v="4.67"/>
    <s v="Medium Risk"/>
    <n v="31220.45"/>
    <n v="604.28"/>
    <n v="31824.73"/>
    <n v="49899.43"/>
    <n v="49899.43"/>
    <n v="34842.410000000003"/>
    <n v="0"/>
    <n v="126"/>
    <n v="10"/>
  </r>
  <r>
    <s v="210184556-00"/>
    <x v="63"/>
    <s v="1983-04-24"/>
    <s v="Subscriber"/>
    <s v="800000032 - CITY OF VANCOUVER"/>
    <s v="10034258 - CITY OF VANCOUVER"/>
    <s v="0001 - CITY OF VANCOUVER ACTIVE NON-UNIFORMED"/>
    <s v="0001 - ACTIVE"/>
    <s v="MESA1001 - ASC Custom Product 1"/>
    <s v="Yes"/>
    <s v="Pregnancy, childbirth and the puerperium"/>
    <s v="Malposition, disproportion or other labor complications"/>
    <s v="O32.1xx0 - Maternal care for breech presentation, not applicable or unspecified"/>
    <s v="NIFEDIPINE ER"/>
    <s v="Apr 2024"/>
    <n v="1.26"/>
    <s v="Low Risk"/>
    <n v="31243.65"/>
    <n v="270.48"/>
    <n v="31514.13"/>
    <n v="65429.9"/>
    <n v="63925.9"/>
    <n v="33947.32"/>
    <n v="1"/>
    <n v="79"/>
    <n v="5"/>
  </r>
  <r>
    <s v="170155624-00"/>
    <x v="64"/>
    <s v="1959-04-25"/>
    <s v="Subscriber"/>
    <s v="800000032 - CITY OF VANCOUVER"/>
    <s v="10034258 - CITY OF VANCOUVER"/>
    <s v="0001 - CITY OF VANCOUVER ACTIVE NON-UNIFORMED"/>
    <s v="0001 - ACTIVE"/>
    <s v="RXES1001 - ASC Custom RX Plan 1"/>
    <s v="Yes"/>
    <s v="Diseases of the musculoskeletal system and connective tissue"/>
    <s v="Osteoarthritis"/>
    <s v="M16.11 - Unilateral primary osteoarthritis, right hip"/>
    <s v="ANUCORT-HC"/>
    <s v="May 2024"/>
    <n v="1.44"/>
    <s v="Low Risk"/>
    <n v="31058.51"/>
    <n v="387.99"/>
    <n v="31446.5"/>
    <n v="64671.9"/>
    <n v="64386.9"/>
    <n v="34081.480000000003"/>
    <n v="0"/>
    <n v="46"/>
    <n v="27"/>
  </r>
  <r>
    <s v="170155786-01"/>
    <x v="65"/>
    <s v="1946-01-08"/>
    <s v="Spouse"/>
    <s v="800000032 - CITY OF VANCOUVER"/>
    <s v="10034258 - CITY OF VANCOUVER"/>
    <s v="0001 - CITY OF VANCOUVER ACTIVE NON-UNIFORMED"/>
    <s v="0001 - ACTIVE"/>
    <s v="MESA1001 - ASC Custom Product 1"/>
    <s v="No"/>
    <s v="Diseases of the nervous system"/>
    <s v="Other nervous system disorders (often hereditary or degenerative)"/>
    <s v="G12.21 - Amyotrophic lateral sclerosis"/>
    <s v="RILUZOLE"/>
    <s v="Dec 2023"/>
    <m/>
    <s v="N/A"/>
    <n v="30886.639999999999"/>
    <n v="151.66"/>
    <n v="31038.3"/>
    <n v="54525.04"/>
    <n v="53865.64"/>
    <n v="31653.41"/>
    <n v="0"/>
    <n v="226"/>
    <n v="11"/>
  </r>
  <r>
    <s v="170155634-01"/>
    <x v="66"/>
    <s v="1961-09-03"/>
    <s v="Spouse"/>
    <s v="800000032 - CITY OF VANCOUVER"/>
    <s v="10034258 - CITY OF VANCOUVER"/>
    <s v="0001 - CITY OF VANCOUVER ACTIVE NON-UNIFORMED"/>
    <s v="0001 - ACTIVE"/>
    <s v="RXES1001 - ASC Custom RX Plan 1"/>
    <s v="Yes"/>
    <s v="Diseases of the musculoskeletal system and connective tissue"/>
    <s v="Musculoskeletal pain, not low back pain"/>
    <s v="M25.562 - Pain in left knee"/>
    <s v="OZEMPIC"/>
    <s v="May 2024"/>
    <n v="4.26"/>
    <s v="Medium Risk"/>
    <n v="11124.77"/>
    <n v="18944.400000000001"/>
    <n v="30069.17"/>
    <n v="52156.25"/>
    <n v="51941.35"/>
    <n v="32618.1"/>
    <n v="0"/>
    <n v="149"/>
    <n v="41"/>
  </r>
  <r>
    <s v="*****"/>
    <x v="13"/>
    <s v="*****"/>
    <s v="Subscriber"/>
    <s v="800000032 - CITY OF VANCOUVER"/>
    <s v="10034259 - VANCOUVER HOUSING AUTHORITY"/>
    <s v="0001 - VANCOUVER HOUSING AUTHORITY"/>
    <s v="0001 - ACTIVE"/>
    <s v="RXHS1001 - HSA RX Plan 1"/>
    <s v="No"/>
    <s v=""/>
    <s v=""/>
    <s v="!"/>
    <s v="LISINOPRIL"/>
    <s v="Aug 2023"/>
    <m/>
    <s v="N/A"/>
    <n v="29503.200000000001"/>
    <n v="28.92"/>
    <n v="29532.12"/>
    <n v="196953.62"/>
    <n v="196953.62"/>
    <n v="34116.050000000003"/>
    <n v="0"/>
    <n v="34"/>
    <n v="2"/>
  </r>
  <r>
    <s v="180016159-00"/>
    <x v="67"/>
    <s v="1985-09-04"/>
    <s v="Subscriber"/>
    <s v="800000032 - CITY OF VANCOUVER"/>
    <s v="10034258 - CITY OF VANCOUVER"/>
    <s v="0001 - CITY OF VANCOUVER ACTIVE NON-UNIFORMED"/>
    <s v="0001 - ACTIVE"/>
    <s v="RXES1001 - ASC Custom RX Plan 1"/>
    <s v="Yes"/>
    <s v="Diseases of the musculoskeletal system and connective tissue"/>
    <s v="Musculoskeletal pain, not low back pain"/>
    <s v="M25.552 - Pain in left hip"/>
    <s v="EPINEPHRINE"/>
    <s v="May 2024"/>
    <n v="4.71"/>
    <s v="Medium Risk"/>
    <n v="29117.3"/>
    <n v="360.89"/>
    <n v="29478.19"/>
    <n v="57482.87"/>
    <n v="59302.87"/>
    <n v="32266.33"/>
    <n v="0"/>
    <n v="450"/>
    <n v="8"/>
  </r>
  <r>
    <s v="170155584-01"/>
    <x v="68"/>
    <s v="1970-06-06"/>
    <s v="Spouse"/>
    <s v="800000032 - CITY OF VANCOUVER"/>
    <s v="10034258 - CITY OF VANCOUVER"/>
    <s v="0005 - CITY OF VANCOUVER POLICE GUILD COMMAND"/>
    <s v="0011 - POLICE GUILD/COMMAND"/>
    <s v="RXES1001 - ASC Custom RX Plan 1"/>
    <s v="Yes"/>
    <s v="Diseases of the respiratory system"/>
    <s v="Other specified and unspecified upper respiratory disease"/>
    <s v="J34.89 - Other specified disorders of nose and nasal sinuses"/>
    <s v="PROGESTERONE"/>
    <s v="Dec 2023"/>
    <n v="0.83"/>
    <s v="Low Risk"/>
    <n v="28747.05"/>
    <n v="384.03"/>
    <n v="29131.08"/>
    <n v="97999.97"/>
    <n v="97999.97"/>
    <n v="31204.05"/>
    <n v="0"/>
    <n v="19"/>
    <n v="5"/>
  </r>
  <r>
    <s v="190240964-00"/>
    <x v="69"/>
    <s v="1967-12-08"/>
    <s v="Subscriber"/>
    <s v="800000032 - CITY OF VANCOUVER"/>
    <s v="10034258 - CITY OF VANCOUVER"/>
    <s v="0001 - CITY OF VANCOUVER ACTIVE NON-UNIFORMED"/>
    <s v="0001 - ACTIVE"/>
    <s v="MHSA1001 - HSA Medical Plan 1"/>
    <s v="Yes"/>
    <s v="Diseases of the musculoskeletal system and connective tissue"/>
    <s v="Spondylopathies/spondyloarthropathy (including infective)"/>
    <s v="M48.062 - Spinal stenosis, lumbar region with neurogenic claudication"/>
    <s v="TAMSULOSIN HYDROCHLORIDE"/>
    <s v="May 2024"/>
    <n v="2.04"/>
    <s v="Low Risk"/>
    <n v="28745.75"/>
    <n v="81.239999999999995"/>
    <n v="28826.99"/>
    <n v="52860.95"/>
    <n v="52860.95"/>
    <n v="32866.04"/>
    <n v="0"/>
    <n v="18"/>
    <n v="7"/>
  </r>
  <r>
    <s v="170155936-00"/>
    <x v="70"/>
    <s v="1958-02-07"/>
    <s v="Subscriber"/>
    <s v="800000032 - CITY OF VANCOUVER"/>
    <s v="10034258 - CITY OF VANCOUVER"/>
    <s v="0001 - CITY OF VANCOUVER ACTIVE NON-UNIFORMED"/>
    <s v="0001 - ACTIVE"/>
    <s v="MESA1001 - ASC Custom Product 1"/>
    <s v="Yes"/>
    <s v="Diseases of the ear and mastoid process"/>
    <s v="Hearing loss"/>
    <s v="H90.A32 - Mixed conductive and sensorineural hearing loss, unilateral, left ear with restricted hearing on the contralateral side"/>
    <s v="ESTRADIOL"/>
    <s v="May 2024"/>
    <n v="2.06"/>
    <s v="Low Risk"/>
    <n v="28460.54"/>
    <n v="248.93"/>
    <n v="28709.47"/>
    <n v="64810.9"/>
    <n v="64660.9"/>
    <n v="30522.67"/>
    <n v="0"/>
    <n v="225"/>
    <n v="6"/>
  </r>
  <r>
    <s v="190175618-00"/>
    <x v="71"/>
    <s v="1978-11-18"/>
    <s v="Subscriber"/>
    <s v="800000032 - CITY OF VANCOUVER"/>
    <s v="10034258 - CITY OF VANCOUVER"/>
    <s v="0001 - CITY OF VANCOUVER ACTIVE NON-UNIFORMED"/>
    <s v="0001 - ACTIVE"/>
    <s v="RXHS1001 - HSA RX Plan 1"/>
    <s v="Yes"/>
    <s v="Diseases of the digestive system"/>
    <s v="Biliary tract disease"/>
    <s v="K80.12 - Calculus of gallbladder with acute and chronic cholecystitis without obstruction"/>
    <s v="TESTOSTERONE CYPIONATE"/>
    <s v="May 2024"/>
    <n v="1.57"/>
    <s v="Low Risk"/>
    <n v="26814.31"/>
    <n v="960.91"/>
    <n v="27775.22"/>
    <n v="78959.740000000005"/>
    <n v="77984.740000000005"/>
    <n v="34292.92"/>
    <n v="0"/>
    <n v="101"/>
    <n v="40"/>
  </r>
  <r>
    <s v="220155038-00"/>
    <x v="72"/>
    <s v="1994-10-06"/>
    <s v="Subscriber"/>
    <s v="800000032 - CITY OF VANCOUVER"/>
    <s v="10034258 - CITY OF VANCOUVER"/>
    <s v="0001 - CITY OF VANCOUVER ACTIVE NON-UNIFORMED"/>
    <s v="0001 - ACTIVE"/>
    <s v="MESA1001 - ASC Custom Product 1"/>
    <s v="Yes"/>
    <s v="Endocrine, nutritional and metabolic diseases"/>
    <s v="Diabetes mellitus without complication"/>
    <s v="O24.424 - Gestational diabetes mellitus in childbirth, insulin controlled"/>
    <s v="HUMULIN N KWIKPEN"/>
    <s v="Mar 2024"/>
    <n v="0.26"/>
    <s v="Low Risk"/>
    <n v="26992.29"/>
    <n v="752.64"/>
    <n v="27744.93"/>
    <n v="45874.26"/>
    <n v="45874.26"/>
    <n v="29755.51"/>
    <n v="1"/>
    <n v="70"/>
    <n v="4"/>
  </r>
  <r>
    <s v="170155833-01"/>
    <x v="73"/>
    <s v="1958-08-04"/>
    <s v="Spouse"/>
    <s v="800000032 - CITY OF VANCOUVER"/>
    <s v="10034258 - CITY OF VANCOUVER"/>
    <s v="0001 - CITY OF VANCOUVER ACTIVE NON-UNIFORMED"/>
    <s v="0001 - ACTIVE"/>
    <s v="RXHS1001 - HSA RX Plan 1"/>
    <s v="No"/>
    <s v="Diseases of the musculoskeletal system and connective tissue"/>
    <s v="Spondylopathies/spondyloarthropathy (including infective)"/>
    <s v="M54.12 - Radiculopathy, cervical region"/>
    <s v="TRULICITY"/>
    <s v="Jan 2024"/>
    <m/>
    <s v="N/A"/>
    <n v="7794.26"/>
    <n v="19561.93"/>
    <n v="27356.19"/>
    <n v="50161.15"/>
    <n v="50161.15"/>
    <n v="28376.12"/>
    <n v="0"/>
    <n v="54"/>
    <n v="48"/>
  </r>
  <r>
    <s v="170155676-02"/>
    <x v="74"/>
    <s v="2006-07-06"/>
    <s v="Dependent"/>
    <s v="800000032 - CITY OF VANCOUVER"/>
    <s v="10034258 - CITY OF VANCOUVER"/>
    <s v="0001 - CITY OF VANCOUVER ACTIVE NON-UNIFORMED"/>
    <s v="0001 - ACTIVE"/>
    <s v="MESA1001 - ASC Custom Product 1"/>
    <s v="Yes"/>
    <s v="Injury, poisoning and certain other consequences of external causes"/>
    <s v="Fracture of the spine and back, initial encounter"/>
    <s v="S22.019A - Unspecified fracture of first thoracic vertebra, initial encounter for closed fracture"/>
    <m/>
    <s v="Dec 2023"/>
    <n v="0.34"/>
    <s v="Low Risk"/>
    <n v="27123.19"/>
    <m/>
    <n v="27123.19"/>
    <n v="58764.47"/>
    <n v="60087.47"/>
    <n v="27818.12"/>
    <n v="1"/>
    <n v="44"/>
    <n v="0"/>
  </r>
  <r>
    <s v="170155779-00"/>
    <x v="75"/>
    <s v="1975-09-24"/>
    <s v="Subscriber"/>
    <s v="800000032 - CITY OF VANCOUVER"/>
    <s v="10034258 - CITY OF VANCOUVER"/>
    <s v="0005 - CITY OF VANCOUVER POLICE GUILD COMMAND"/>
    <s v="0011 - POLICE GUILD/COMMAND"/>
    <s v="RXES1001 - ASC Custom RX Plan 1"/>
    <s v="Yes"/>
    <s v="Diseases of the nervous system"/>
    <s v="Headache; including migraine"/>
    <s v="G43.E09 - Chronic migraine with aura, not intractable, without status migrainosus"/>
    <s v="RESTASIS"/>
    <s v="May 2024"/>
    <n v="4.58"/>
    <s v="Medium Risk"/>
    <n v="14855.55"/>
    <n v="10850.87"/>
    <n v="25706.42"/>
    <n v="54805.14"/>
    <n v="54784.1"/>
    <n v="29522.31"/>
    <n v="0"/>
    <n v="116"/>
    <n v="76"/>
  </r>
  <r>
    <s v="170261988-00"/>
    <x v="76"/>
    <s v="1980-08-24"/>
    <s v="Subscriber"/>
    <s v="800000032 - CITY OF VANCOUVER"/>
    <s v="10034258 - CITY OF VANCOUVER"/>
    <s v="0001 - CITY OF VANCOUVER ACTIVE NON-UNIFORMED"/>
    <s v="0001 - ACTIVE"/>
    <s v="RXHS1001 - HSA RX Plan 1"/>
    <s v="Yes"/>
    <s v="Mental, behavioral and neurodevelopmental disorders"/>
    <s v="Anxiety and fear-related disorders"/>
    <s v="F41.1 - Generalized anxiety disorder"/>
    <s v="BUPROPION HYDROCHLORIDE ER (XL)"/>
    <s v="May 2024"/>
    <n v="0.15"/>
    <s v="Low Risk"/>
    <n v="25323.59"/>
    <n v="379.99"/>
    <n v="25703.58"/>
    <n v="50062.66"/>
    <n v="48692.66"/>
    <n v="31345.24"/>
    <n v="0"/>
    <n v="304"/>
    <n v="17"/>
  </r>
  <r>
    <s v="170155704-00"/>
    <x v="77"/>
    <s v="1977-06-30"/>
    <s v="Subscriber"/>
    <s v="800000032 - CITY OF VANCOUVER"/>
    <s v="10034258 - CITY OF VANCOUVER"/>
    <s v="0001 - CITY OF VANCOUVER ACTIVE NON-UNIFORMED"/>
    <s v="0001 - ACTIVE"/>
    <s v="MESA1001 - ASC Custom Product 1"/>
    <s v="No"/>
    <s v="Injury, poisoning and certain other consequences of external causes"/>
    <s v="Sprains and strains, initial encounter"/>
    <s v="S83.512A - Sprain of anterior cruciate ligament of left knee, initial encounter"/>
    <s v="VIENVA"/>
    <s v="Mar 2024"/>
    <m/>
    <s v="N/A"/>
    <n v="25478.71"/>
    <n v="51.26"/>
    <n v="25529.97"/>
    <n v="46531.21"/>
    <n v="46531.21"/>
    <n v="27631.42"/>
    <n v="0"/>
    <n v="89"/>
    <n v="4"/>
  </r>
  <r>
    <s v="170155761-01"/>
    <x v="78"/>
    <s v="1964-11-01"/>
    <s v="Spouse"/>
    <s v="800000032 - CITY OF VANCOUVER"/>
    <s v="10034258 - CITY OF VANCOUVER"/>
    <s v="0004 - CITY OF VANCOUVER COBRA"/>
    <s v="0008 - ACTIVE COBRA"/>
    <s v="MESA1001 - ASC Custom Product 1"/>
    <s v="No"/>
    <s v="Diseases of the musculoskeletal system and connective tissue"/>
    <s v="Spondylopathies/spondyloarthropathy (including infective)"/>
    <s v="M51.17 - Intervertebral disc disorders with radiculopathy, lumbosacral region"/>
    <s v="COMIRNATY 2023-24"/>
    <s v="Apr 2024"/>
    <m/>
    <s v="N/A"/>
    <n v="25021.67"/>
    <n v="305.85000000000002"/>
    <n v="25327.52"/>
    <n v="53456.56"/>
    <n v="53456.56"/>
    <n v="29379.39"/>
    <n v="0"/>
    <n v="135"/>
    <n v="18"/>
  </r>
  <r>
    <s v="230242136-00"/>
    <x v="79"/>
    <s v="2000-05-22"/>
    <s v="Subscriber"/>
    <s v="800000032 - CITY OF VANCOUVER"/>
    <s v="10034259 - VANCOUVER HOUSING AUTHORITY"/>
    <s v="0001 - VANCOUVER HOUSING AUTHORITY"/>
    <s v="0001 - ACTIVE"/>
    <s v="MESA2001 - ASC Custom Product 2"/>
    <s v="Yes"/>
    <s v="Pregnancy, childbirth and the puerperium"/>
    <s v="Malposition, disproportion or other labor complications"/>
    <s v="O32.1xx0 - Maternal care for breech presentation, not applicable or unspecified"/>
    <m/>
    <s v="Apr 2024"/>
    <n v="0.15"/>
    <s v="Low Risk"/>
    <n v="25119.97"/>
    <m/>
    <n v="25119.97"/>
    <n v="59514.18"/>
    <n v="59026.18"/>
    <n v="27443.02"/>
    <n v="1"/>
    <n v="31"/>
    <n v="0"/>
  </r>
  <r>
    <s v="170155659-01"/>
    <x v="80"/>
    <s v="1963-06-30"/>
    <s v="Spouse"/>
    <s v="800000032 - CITY OF VANCOUVER"/>
    <s v="10034258 - CITY OF VANCOUVER"/>
    <s v="0001 - CITY OF VANCOUVER ACTIVE NON-UNIFORMED"/>
    <s v="0001 - ACTIVE"/>
    <s v="RXES1001 - ASC Custom RX Plan 1"/>
    <s v="Yes"/>
    <s v="Symptoms, signs and abnormal clinical and laboratory findings, not elsewhere classified"/>
    <s v="Abnormal findings without diagnosis"/>
    <s v="R92.0 - Mammographic microcalcification found on diagnostic imaging of breast"/>
    <s v="EMGALITY"/>
    <s v="May 2024"/>
    <n v="3.15"/>
    <s v="Medium Risk"/>
    <n v="16409.14"/>
    <n v="8156.9"/>
    <n v="24566.04"/>
    <n v="52424.79"/>
    <n v="52424.79"/>
    <n v="27203.71"/>
    <n v="0"/>
    <n v="44"/>
    <n v="24"/>
  </r>
  <r>
    <s v="170155801-00"/>
    <x v="81"/>
    <s v="1955-02-26"/>
    <s v="Subscriber"/>
    <s v="800000032 - CITY OF VANCOUVER"/>
    <s v="10034258 - CITY OF VANCOUVER"/>
    <s v="0001 - CITY OF VANCOUVER ACTIVE NON-UNIFORMED"/>
    <s v="0001 - ACTIVE"/>
    <s v="RXES1001 - ASC Custom RX Plan 1"/>
    <s v="Yes"/>
    <s v="Neoplasms"/>
    <s v="Benign neoplasms"/>
    <s v="D17.1 - Benign lipomatous neoplasm of skin and subcutaneous tissue of trunk"/>
    <s v="REPATHA SURECLICK"/>
    <s v="May 2024"/>
    <n v="6.06"/>
    <s v="Medium Risk"/>
    <n v="21252.9"/>
    <n v="3225.94"/>
    <n v="24478.84"/>
    <n v="53439.14"/>
    <n v="53239.14"/>
    <n v="27037.87"/>
    <n v="0"/>
    <n v="124"/>
    <n v="29"/>
  </r>
  <r>
    <s v="170155668-03"/>
    <x v="82"/>
    <s v="2005-04-22"/>
    <s v="Dependent"/>
    <s v="800000032 - CITY OF VANCOUVER"/>
    <s v="10034258 - CITY OF VANCOUVER"/>
    <s v="0005 - CITY OF VANCOUVER POLICE GUILD COMMAND"/>
    <s v="0011 - POLICE GUILD/COMMAND"/>
    <s v="MESA1001 - ASC Custom Product 1"/>
    <s v="Yes"/>
    <s v="Injury, poisoning and certain other consequences of external causes"/>
    <s v="Sprains and strains, initial encounter"/>
    <s v="S83.511A - Sprain of anterior cruciate ligament of right knee, initial encounter"/>
    <s v="MELOXICAM"/>
    <s v="Apr 2024"/>
    <n v="0.62"/>
    <s v="Low Risk"/>
    <n v="23995.38"/>
    <n v="1.95"/>
    <n v="23997.33"/>
    <n v="38060.75"/>
    <n v="38060.75"/>
    <n v="26509.69"/>
    <n v="0"/>
    <n v="63"/>
    <n v="2"/>
  </r>
  <r>
    <s v="220090511-00"/>
    <x v="83"/>
    <s v="1969-05-04"/>
    <s v="Subscriber"/>
    <s v="800000032 - CITY OF VANCOUVER"/>
    <s v="10034259 - VANCOUVER HOUSING AUTHORITY"/>
    <s v="0001 - VANCOUVER HOUSING AUTHORITY"/>
    <s v="0001 - ACTIVE"/>
    <s v="RXES2001 - ASC Custom RX Plan 2"/>
    <s v="Yes"/>
    <s v="Symptoms, signs and abnormal clinical and laboratory findings, not elsewhere classified"/>
    <s v="Skin/Subcutaneous signs and symptoms"/>
    <s v="R20.0 - Anesthesia of skin"/>
    <s v="OZEMPIC"/>
    <s v="May 2024"/>
    <n v="3.18"/>
    <s v="Medium Risk"/>
    <n v="12209.47"/>
    <n v="11609.46"/>
    <n v="23818.93"/>
    <n v="41617.51"/>
    <n v="40424.980000000003"/>
    <n v="25544.59"/>
    <n v="0"/>
    <n v="58"/>
    <n v="15"/>
  </r>
  <r>
    <s v="*****"/>
    <x v="13"/>
    <s v="*****"/>
    <s v="Spouse"/>
    <s v="800000032 - CITY OF VANCOUVER"/>
    <s v="10034258 - CITY OF VANCOUVER"/>
    <s v="0001 - CITY OF VANCOUVER ACTIVE NON-UNIFORMED"/>
    <s v="0001 - ACTIVE"/>
    <s v="RXES1001 - ASC Custom RX Plan 1"/>
    <s v="No"/>
    <s v="Diseases of the circulatory system"/>
    <s v="Vasculitis"/>
    <s v="M31.6 - Other giant cell arteritis"/>
    <s v="!"/>
    <s v="Mar 2024"/>
    <m/>
    <s v="N/A"/>
    <n v="22009.55"/>
    <n v="1719.41"/>
    <n v="23728.959999999999"/>
    <n v="55743.01"/>
    <n v="54981"/>
    <n v="26995.29"/>
    <n v="0"/>
    <n v="92"/>
    <n v="59"/>
  </r>
  <r>
    <s v="170156010-01"/>
    <x v="84"/>
    <s v="1956-07-17"/>
    <s v="Spouse"/>
    <s v="800000032 - CITY OF VANCOUVER"/>
    <s v="10034259 - VANCOUVER HOUSING AUTHORITY"/>
    <s v="0001 - VANCOUVER HOUSING AUTHORITY"/>
    <s v="0002 - COBRA"/>
    <s v="MESA2001 - ASC Custom Product 2"/>
    <s v="No"/>
    <s v="Diseases of the nervous system"/>
    <s v="Headache; including migraine"/>
    <s v="G44.209 - Tension-type headache, unspecified, not intractable"/>
    <s v="OZEMPIC"/>
    <s v="Feb 2024"/>
    <m/>
    <s v="N/A"/>
    <n v="8217.82"/>
    <n v="15466.71"/>
    <n v="23684.53"/>
    <n v="37230.06"/>
    <n v="37230.06"/>
    <n v="26764.58"/>
    <n v="0"/>
    <n v="31"/>
    <n v="40"/>
  </r>
  <r>
    <s v="170155957-00"/>
    <x v="85"/>
    <s v="1973-12-30"/>
    <s v="Subscriber"/>
    <s v="800000032 - CITY OF VANCOUVER"/>
    <s v="10034258 - CITY OF VANCOUVER"/>
    <s v="0001 - CITY OF VANCOUVER ACTIVE NON-UNIFORMED"/>
    <s v="0001 - ACTIVE"/>
    <s v="RXHS1001 - HSA RX Plan 1"/>
    <s v="Yes"/>
    <s v="Symptoms, signs and abnormal clinical and laboratory findings, not elsewhere classified"/>
    <s v="Abnormal findings without diagnosis"/>
    <s v="R87.619 - Unspecified abnormal cytological findings in specimens from cervix uteri"/>
    <s v="REPATHA SURECLICK"/>
    <s v="May 2024"/>
    <n v="3.13"/>
    <s v="Medium Risk"/>
    <n v="18892.41"/>
    <n v="4707.97"/>
    <n v="23600.38"/>
    <n v="45959.85"/>
    <n v="45959.85"/>
    <n v="28450.76"/>
    <n v="0"/>
    <n v="39"/>
    <n v="24"/>
  </r>
  <r>
    <s v="220177367-00"/>
    <x v="86"/>
    <s v="1997-09-18"/>
    <s v="Subscriber"/>
    <s v="800000032 - CITY OF VANCOUVER"/>
    <s v="10034258 - CITY OF VANCOUVER"/>
    <s v="0005 - CITY OF VANCOUVER POLICE GUILD COMMAND"/>
    <s v="0011 - POLICE GUILD/COMMAND"/>
    <s v="RXES1001 - ASC Custom RX Plan 1"/>
    <s v="Yes"/>
    <s v="Endocrine, nutritional and metabolic diseases"/>
    <s v="Obesity"/>
    <s v="O99.214 - Obesity complicating childbirth"/>
    <s v="SLYND"/>
    <s v="Mar 2024"/>
    <n v="0.48"/>
    <s v="Low Risk"/>
    <n v="22949.69"/>
    <n v="553.11"/>
    <n v="23502.799999999999"/>
    <n v="51346.11"/>
    <n v="51346.11"/>
    <n v="26452.55"/>
    <n v="1"/>
    <n v="43"/>
    <n v="3"/>
  </r>
  <r>
    <s v="190233697-01"/>
    <x v="87"/>
    <s v="1999-06-27"/>
    <s v="Spouse"/>
    <s v="800000032 - CITY OF VANCOUVER"/>
    <s v="10034258 - CITY OF VANCOUVER"/>
    <s v="0005 - CITY OF VANCOUVER POLICE GUILD COMMAND"/>
    <s v="0011 - POLICE GUILD/COMMAND"/>
    <s v="RXES1001 - ASC Custom RX Plan 1"/>
    <s v="Yes"/>
    <s v="Pregnancy, childbirth and the puerperium"/>
    <s v="Malposition, disproportion or other labor complications"/>
    <s v="O69.81x0 - Labor and delivery complicated by cord around neck, without compression, not applicable or unspecified"/>
    <s v="NYSTATIN/TRIAMCINOLONE ACETONIDE"/>
    <s v="May 2024"/>
    <n v="0.33"/>
    <s v="Low Risk"/>
    <n v="23235.51"/>
    <n v="90.02"/>
    <n v="23325.53"/>
    <n v="35738.26"/>
    <n v="35738.26"/>
    <n v="25287.71"/>
    <n v="1"/>
    <n v="28"/>
    <n v="10"/>
  </r>
  <r>
    <s v="170155586-01"/>
    <x v="88"/>
    <s v="1973-05-17"/>
    <s v="Spouse"/>
    <s v="800000032 - CITY OF VANCOUVER"/>
    <s v="10034258 - CITY OF VANCOUVER"/>
    <s v="0005 - CITY OF VANCOUVER POLICE GUILD COMMAND"/>
    <s v="0011 - POLICE GUILD/COMMAND"/>
    <s v="MESA1001 - ASC Custom Product 1"/>
    <s v="Yes"/>
    <s v="Diseases of the musculoskeletal system and connective tissue"/>
    <s v="Nerve and nerve root disorders"/>
    <s v="G56.03 - Carpal tunnel syndrome, bilateral upper limbs"/>
    <s v="CLARITHROMYCIN"/>
    <s v="May 2024"/>
    <n v="2.4900000000000002"/>
    <s v="Low Risk"/>
    <n v="23271.59"/>
    <n v="53.29"/>
    <n v="23324.880000000001"/>
    <n v="48286.55"/>
    <n v="46758.25"/>
    <n v="25161.51"/>
    <n v="0"/>
    <n v="129"/>
    <n v="7"/>
  </r>
  <r>
    <s v="220130406-00"/>
    <x v="89"/>
    <s v="1981-10-02"/>
    <s v="Subscriber"/>
    <s v="800000032 - CITY OF VANCOUVER"/>
    <s v="10034259 - VANCOUVER HOUSING AUTHORITY"/>
    <s v="0001 - VANCOUVER HOUSING AUTHORITY"/>
    <s v="0001 - ACTIVE"/>
    <s v="MESA2001 - ASC Custom Product 2"/>
    <s v="No"/>
    <s v="Mental, behavioral and neurodevelopmental disorders"/>
    <s v="Depressive disorders"/>
    <s v="F33.2 - Major depressive disorder, recurrent severe without psychotic features"/>
    <s v="OZEMPIC"/>
    <s v="Oct 2023"/>
    <m/>
    <s v="N/A"/>
    <n v="22158.240000000002"/>
    <n v="1141.0899999999999"/>
    <n v="23299.33"/>
    <n v="52303.57"/>
    <n v="52303.57"/>
    <n v="25305.55"/>
    <n v="0"/>
    <n v="71"/>
    <n v="20"/>
  </r>
  <r>
    <s v="210297742-00"/>
    <x v="90"/>
    <s v="1989-07-14"/>
    <s v="Subscriber"/>
    <s v="800000032 - CITY OF VANCOUVER"/>
    <s v="10034258 - CITY OF VANCOUVER"/>
    <s v="0001 - CITY OF VANCOUVER ACTIVE NON-UNIFORMED"/>
    <s v="0001 - ACTIVE"/>
    <s v="MHSA1001 - HSA Medical Plan 1"/>
    <s v="Yes"/>
    <s v="Pregnancy, childbirth and the puerperium"/>
    <s v="Early or threatened labor"/>
    <s v="O42.013 - Preterm premature rupture of membranes, onset of labor within 24 hours of rupture, third trimester"/>
    <s v="ETONOGESTREL/ETHINYL ESTRADIOL"/>
    <s v="Apr 2024"/>
    <n v="2.2200000000000002"/>
    <s v="Low Risk"/>
    <n v="22124.18"/>
    <n v="633.27"/>
    <n v="22757.45"/>
    <n v="46546.8"/>
    <n v="46374.8"/>
    <n v="28465.01"/>
    <n v="1"/>
    <n v="91"/>
    <n v="10"/>
  </r>
  <r>
    <s v="170155749-01"/>
    <x v="91"/>
    <s v="1970-05-02"/>
    <s v="Spouse"/>
    <s v="800000032 - CITY OF VANCOUVER"/>
    <s v="10034258 - CITY OF VANCOUVER"/>
    <s v="0005 - CITY OF VANCOUVER POLICE GUILD COMMAND"/>
    <s v="0011 - POLICE GUILD/COMMAND"/>
    <s v="RXES1001 - ASC Custom RX Plan 1"/>
    <s v="Yes"/>
    <s v="Diseases of the nervous system"/>
    <s v="Headache; including migraine"/>
    <s v="G43.709 - Chronic migraine without aura, not intractable, without status migrainosus"/>
    <s v="UBRELVY"/>
    <s v="May 2024"/>
    <n v="4.1100000000000003"/>
    <s v="Medium Risk"/>
    <n v="16215.41"/>
    <n v="6420.39"/>
    <n v="22635.8"/>
    <n v="39284.800000000003"/>
    <n v="39284.800000000003"/>
    <n v="26321.01"/>
    <n v="0"/>
    <n v="133"/>
    <n v="24"/>
  </r>
  <r>
    <s v="170261992-00"/>
    <x v="92"/>
    <s v="1975-04-06"/>
    <s v="Subscriber"/>
    <s v="800000032 - CITY OF VANCOUVER"/>
    <s v="10034258 - CITY OF VANCOUVER"/>
    <s v="0001 - CITY OF VANCOUVER ACTIVE NON-UNIFORMED"/>
    <s v="0001 - ACTIVE"/>
    <s v="MHSA1001 - HSA Medical Plan 1"/>
    <s v="Yes"/>
    <s v="Injury, poisoning and certain other consequences of external causes"/>
    <s v="Fracture of the upper limb, initial encounter"/>
    <s v="S52.571A - Other intraarticular fracture of lower end of right radius, initial encounter for closed fracture"/>
    <s v="SUTAB"/>
    <s v="Apr 2024"/>
    <n v="1.1200000000000001"/>
    <s v="Low Risk"/>
    <n v="22401.79"/>
    <n v="145.51"/>
    <n v="22547.3"/>
    <n v="40648.93"/>
    <n v="40648.93"/>
    <n v="28990.9"/>
    <n v="0"/>
    <n v="80"/>
    <n v="5"/>
  </r>
  <r>
    <s v="170155863-01"/>
    <x v="93"/>
    <s v="1965-01-07"/>
    <s v="Spouse"/>
    <s v="800000032 - CITY OF VANCOUVER"/>
    <s v="10034258 - CITY OF VANCOUVER"/>
    <s v="0001 - CITY OF VANCOUVER ACTIVE NON-UNIFORMED"/>
    <s v="0001 - ACTIVE"/>
    <s v="RXHS1001 - HSA RX Plan 1"/>
    <s v="Yes"/>
    <s v="Diseases of the musculoskeletal system and connective tissue"/>
    <s v="Tendon and synovial disorders"/>
    <s v="M75.121 - Complete rotator cuff tear or rupture of right shoulder, not specified as traumatic"/>
    <s v="LURASIDONE HYDROCHLORIDE"/>
    <s v="May 2024"/>
    <n v="2.87"/>
    <s v="Medium Risk"/>
    <n v="18965.78"/>
    <n v="3314.92"/>
    <n v="22280.7"/>
    <n v="53812.08"/>
    <n v="55377.43"/>
    <n v="28876.69"/>
    <n v="0"/>
    <n v="78"/>
    <n v="53"/>
  </r>
  <r>
    <s v="170155790-03"/>
    <x v="94"/>
    <s v="1980-11-03"/>
    <s v="Spouse"/>
    <s v="800000032 - CITY OF VANCOUVER"/>
    <s v="10034258 - CITY OF VANCOUVER"/>
    <s v="0005 - CITY OF VANCOUVER POLICE GUILD COMMAND"/>
    <s v="0011 - POLICE GUILD/COMMAND"/>
    <s v="RXES1001 - ASC Custom RX Plan 1"/>
    <s v="Yes"/>
    <s v="Diseases of the musculoskeletal system and connective tissue"/>
    <s v="Other specified diseases of veins and lymphatics"/>
    <s v="I88.8 - Other nonspecific lymphadenitis"/>
    <s v="VYVANSE"/>
    <s v="May 2024"/>
    <n v="2.2999999999999998"/>
    <s v="Low Risk"/>
    <n v="18713.2"/>
    <n v="3476.67"/>
    <n v="22189.87"/>
    <n v="36108.1"/>
    <n v="40203.4"/>
    <n v="23739.98"/>
    <n v="0"/>
    <n v="156"/>
    <n v="75"/>
  </r>
  <r>
    <s v="170155917-01"/>
    <x v="95"/>
    <s v="1995-12-10"/>
    <s v="Spouse"/>
    <s v="800000032 - CITY OF VANCOUVER"/>
    <s v="10034258 - CITY OF VANCOUVER"/>
    <s v="0005 - CITY OF VANCOUVER POLICE GUILD COMMAND"/>
    <s v="0011 - POLICE GUILD/COMMAND"/>
    <s v="RXES1001 - ASC Custom RX Plan 1"/>
    <s v="Yes"/>
    <s v="Pregnancy, childbirth and the puerperium"/>
    <s v="Malposition, disproportion or other labor complications"/>
    <s v="O32.0xx0 - Maternal care for unstable lie, not applicable or unspecified"/>
    <s v="LEVOTHYROXINE SODIUM"/>
    <s v="Apr 2024"/>
    <n v="0.63"/>
    <s v="Low Risk"/>
    <n v="21886.93"/>
    <n v="257.3"/>
    <n v="22144.23"/>
    <n v="38217.17"/>
    <n v="38217.17"/>
    <n v="24101.57"/>
    <n v="1"/>
    <n v="37"/>
    <n v="16"/>
  </r>
  <r>
    <s v="170155671-02"/>
    <x v="96"/>
    <s v="1964-12-26"/>
    <s v="Spouse"/>
    <s v="800000032 - CITY OF VANCOUVER"/>
    <s v="10034258 - CITY OF VANCOUVER"/>
    <s v="0001 - CITY OF VANCOUVER ACTIVE NON-UNIFORMED"/>
    <s v="0001 - ACTIVE"/>
    <s v="MESA1001 - ASC Custom Product 1"/>
    <s v="Yes"/>
    <s v="Diseases of the musculoskeletal system and connective tissue"/>
    <s v="Tendon and synovial disorders"/>
    <s v="M75.102 - Unspecified rotator cuff tear or rupture of left shoulder, not specified as traumatic"/>
    <s v="NAPROXEN SODIUM"/>
    <s v="May 2024"/>
    <n v="1.89"/>
    <s v="Low Risk"/>
    <n v="21884.82"/>
    <n v="258.45"/>
    <n v="22143.27"/>
    <n v="49911.12"/>
    <n v="49614.18"/>
    <n v="24793.56"/>
    <n v="0"/>
    <n v="105"/>
    <n v="10"/>
  </r>
  <r>
    <s v="201145351-01"/>
    <x v="97"/>
    <s v="2004-06-29"/>
    <s v="Dependent"/>
    <s v="800000032 - CITY OF VANCOUVER"/>
    <s v="10034258 - CITY OF VANCOUVER"/>
    <s v="0001 - CITY OF VANCOUVER ACTIVE NON-UNIFORMED"/>
    <s v="0001 - ACTIVE"/>
    <s v="RXHS1001 - HSA RX Plan 1"/>
    <s v="Yes"/>
    <s v="Neoplasms"/>
    <s v="Benign neoplasms"/>
    <s v="D27.0 - Benign neoplasm of right ovary"/>
    <s v="ALBUTEROL SULFATE HFA"/>
    <s v="May 2024"/>
    <n v="0.41"/>
    <s v="Low Risk"/>
    <n v="21987.51"/>
    <n v="96.43"/>
    <n v="22083.94"/>
    <n v="69954.53"/>
    <n v="69954.53"/>
    <n v="27282.12"/>
    <n v="0"/>
    <n v="34"/>
    <n v="7"/>
  </r>
  <r>
    <s v="210134727-00"/>
    <x v="98"/>
    <s v="1983-01-05"/>
    <s v="Subscriber"/>
    <s v="800000032 - CITY OF VANCOUVER"/>
    <s v="10034259 - VANCOUVER HOUSING AUTHORITY"/>
    <s v="0001 - VANCOUVER HOUSING AUTHORITY"/>
    <s v="0001 - ACTIVE"/>
    <s v="RXES2001 - ASC Custom RX Plan 2"/>
    <s v="Yes"/>
    <s v="Mental, behavioral and neurodevelopmental disorders"/>
    <s v="Neurodevelopmental disorders"/>
    <s v="F90.0 - Attention-deficit hyperactivity disorder, predominantly inattentive type"/>
    <s v="OZEMPIC"/>
    <s v="May 2024"/>
    <n v="3.48"/>
    <s v="Medium Risk"/>
    <n v="10378.34"/>
    <n v="11594.28"/>
    <n v="21972.62"/>
    <n v="36453.11"/>
    <n v="36072.75"/>
    <n v="23965.87"/>
    <n v="0"/>
    <n v="170"/>
    <n v="64"/>
  </r>
  <r>
    <s v="170155623-04"/>
    <x v="99"/>
    <s v="2002-11-30"/>
    <s v="Dependent"/>
    <s v="800000032 - CITY OF VANCOUVER"/>
    <s v="10034258 - CITY OF VANCOUVER"/>
    <s v="0001 - CITY OF VANCOUVER ACTIVE NON-UNIFORMED"/>
    <s v="0001 - ACTIVE"/>
    <s v="MESA1001 - ASC Custom Product 1"/>
    <s v="Yes"/>
    <s v="Diseases of the digestive system"/>
    <s v="Appendicitis and other appendiceal conditions"/>
    <s v="K35.30 - Acute appendicitis with localized peritonitis, without perforation or gangrene"/>
    <s v="NITROFURANTOIN MONOHYDRATE"/>
    <s v="Apr 2024"/>
    <n v="0.41"/>
    <s v="Low Risk"/>
    <n v="21294.85"/>
    <n v="13.87"/>
    <n v="21308.720000000001"/>
    <n v="47373.120000000003"/>
    <n v="47373.120000000003"/>
    <n v="23675.41"/>
    <n v="0"/>
    <n v="36"/>
    <n v="4"/>
  </r>
  <r>
    <s v="230191340-00"/>
    <x v="100"/>
    <s v="1987-06-16"/>
    <s v="Subscriber"/>
    <s v="800000032 - CITY OF VANCOUVER"/>
    <s v="10034259 - VANCOUVER HOUSING AUTHORITY"/>
    <s v="0001 - VANCOUVER HOUSING AUTHORITY"/>
    <s v="0001 - ACTIVE"/>
    <s v="MESA2001 - ASC Custom Product 2"/>
    <s v="Yes"/>
    <s v="Diseases of the musculoskeletal system and connective tissue"/>
    <s v="Tendon and synovial disorders"/>
    <s v="M76.61 - Achilles tendinitis, right leg"/>
    <s v="ELIQUIS"/>
    <s v="May 2024"/>
    <n v="1.45"/>
    <s v="Low Risk"/>
    <n v="18701.599999999999"/>
    <n v="1066.27"/>
    <n v="19767.87"/>
    <n v="45717.2"/>
    <n v="45408.2"/>
    <n v="22067.87"/>
    <n v="0"/>
    <n v="79"/>
    <n v="8"/>
  </r>
  <r>
    <s v="170155582-01"/>
    <x v="101"/>
    <s v="1951-10-07"/>
    <s v="Spouse"/>
    <s v="800000032 - CITY OF VANCOUVER"/>
    <s v="10034258 - CITY OF VANCOUVER"/>
    <s v="0001 - CITY OF VANCOUVER ACTIVE NON-UNIFORMED"/>
    <s v="0001 - ACTIVE"/>
    <s v="RXES1001 - ASC Custom RX Plan 1"/>
    <s v="Yes"/>
    <s v="Neoplasms"/>
    <s v="Skin cancers - basal cell carcinoma"/>
    <s v="C44.519 - Basal cell carcinoma of skin of other part of trunk"/>
    <s v="ELIQUIS"/>
    <s v="May 2024"/>
    <n v="3.48"/>
    <s v="Medium Risk"/>
    <n v="7391.17"/>
    <n v="12233.47"/>
    <n v="19624.64"/>
    <n v="34988.720000000001"/>
    <n v="34958.720000000001"/>
    <n v="22685.75"/>
    <n v="0"/>
    <n v="53"/>
    <n v="75"/>
  </r>
  <r>
    <s v="230086980-01"/>
    <x v="102"/>
    <s v="1968-06-24"/>
    <s v="Spouse"/>
    <s v="800000032 - CITY OF VANCOUVER"/>
    <s v="10034259 - VANCOUVER HOUSING AUTHORITY"/>
    <s v="0001 - VANCOUVER HOUSING AUTHORITY"/>
    <s v="0001 - ACTIVE"/>
    <s v="MESA2001 - ASC Custom Product 2"/>
    <s v="Yes"/>
    <s v="Diseases of the nervous system"/>
    <s v="Sleep wake disorders"/>
    <s v="G47.33 - Obstructive sleep apnea (adult) (pediatric)"/>
    <s v="MOUNJARO"/>
    <s v="May 2024"/>
    <m/>
    <s v="N/A"/>
    <n v="5177.55"/>
    <n v="14404.12"/>
    <n v="19581.669999999998"/>
    <n v="30376.07"/>
    <n v="30376.07"/>
    <n v="21212.54"/>
    <n v="0"/>
    <n v="156"/>
    <n v="45"/>
  </r>
  <r>
    <s v="170155968-00"/>
    <x v="103"/>
    <s v="1971-03-24"/>
    <s v="Subscriber"/>
    <s v="800000032 - CITY OF VANCOUVER"/>
    <s v="10034258 - CITY OF VANCOUVER"/>
    <s v="0001 - CITY OF VANCOUVER ACTIVE NON-UNIFORMED"/>
    <s v="0001 - ACTIVE"/>
    <s v="MESA1001 - ASC Custom Product 1"/>
    <s v="Yes"/>
    <s v="Diseases of the musculoskeletal system and connective tissue"/>
    <s v="Trauma- and stressor-related disorders"/>
    <s v="F43.22 - Adjustment disorder with anxiety"/>
    <s v="EMTRICITABINE/TENOFOVIR DISOPROXIL FUMARATE"/>
    <s v="May 2024"/>
    <n v="3.43"/>
    <s v="Medium Risk"/>
    <n v="16099.94"/>
    <n v="3048.13"/>
    <n v="19148.07"/>
    <n v="44980.800000000003"/>
    <n v="44515.8"/>
    <n v="21206.83"/>
    <n v="0"/>
    <n v="158"/>
    <n v="17"/>
  </r>
  <r>
    <s v="190001681-00"/>
    <x v="104"/>
    <s v="1981-07-06"/>
    <s v="Subscriber"/>
    <s v="800000032 - CITY OF VANCOUVER"/>
    <s v="10034258 - CITY OF VANCOUVER"/>
    <s v="0001 - CITY OF VANCOUVER ACTIVE NON-UNIFORMED"/>
    <s v="0001 - ACTIVE"/>
    <s v="RXES1001 - ASC Custom RX Plan 1"/>
    <s v="Yes"/>
    <s v="Injury, poisoning and certain other consequences of external causes"/>
    <s v="Sprains and strains, initial encounter"/>
    <s v="S83.511A - Sprain of anterior cruciate ligament of right knee, initial encounter"/>
    <s v="TRAZODONE HYDROCHLORIDE"/>
    <s v="May 2024"/>
    <n v="1.23"/>
    <s v="Low Risk"/>
    <n v="18507.86"/>
    <n v="127.58"/>
    <n v="18635.439999999999"/>
    <n v="33942.6"/>
    <n v="33142.6"/>
    <n v="21103.93"/>
    <n v="0"/>
    <n v="49"/>
    <n v="19"/>
  </r>
  <r>
    <s v="201064190-01"/>
    <x v="105"/>
    <s v="1993-10-21"/>
    <s v="Spouse"/>
    <s v="800000032 - CITY OF VANCOUVER"/>
    <s v="10034258 - CITY OF VANCOUVER"/>
    <s v="0005 - CITY OF VANCOUVER POLICE GUILD COMMAND"/>
    <s v="0011 - POLICE GUILD/COMMAND"/>
    <s v="RXHS1001 - HSA RX Plan 1"/>
    <s v="Yes"/>
    <s v="Endocrine, nutritional and metabolic diseases"/>
    <s v="Diabetes mellitus without complication"/>
    <s v="O24.424 - Gestational diabetes mellitus in childbirth, insulin controlled"/>
    <s v="NORETHINDRONE"/>
    <s v="Apr 2024"/>
    <n v="0.66"/>
    <s v="Low Risk"/>
    <n v="17801.580000000002"/>
    <n v="568.16"/>
    <n v="18369.740000000002"/>
    <n v="28356.959999999999"/>
    <n v="28321.97"/>
    <n v="20286.009999999998"/>
    <n v="1"/>
    <n v="35"/>
    <n v="11"/>
  </r>
  <r>
    <s v="170156661-01"/>
    <x v="106"/>
    <s v="1993-09-02"/>
    <s v="Spouse"/>
    <s v="800000032 - CITY OF VANCOUVER"/>
    <s v="10034258 - CITY OF VANCOUVER"/>
    <s v="0005 - CITY OF VANCOUVER POLICE GUILD COMMAND"/>
    <s v="0011 - POLICE GUILD/COMMAND"/>
    <s v="RXES1001 - ASC Custom RX Plan 1"/>
    <s v="Yes"/>
    <s v="Pregnancy, childbirth and the puerperium"/>
    <s v="Complications specified during childbirth"/>
    <s v="O99.354 - Diseases of the nervous system complicating childbirth"/>
    <s v="HEATHER"/>
    <s v="Apr 2024"/>
    <n v="0.36"/>
    <s v="Low Risk"/>
    <n v="18067.849999999999"/>
    <n v="115.52"/>
    <n v="18183.37"/>
    <n v="36382.78"/>
    <n v="36317.879999999997"/>
    <n v="20467.240000000002"/>
    <n v="1"/>
    <n v="56"/>
    <n v="3"/>
  </r>
  <r>
    <s v="201061748-01"/>
    <x v="107"/>
    <s v="2001-02-24"/>
    <s v="Dependent"/>
    <s v="800000032 - CITY OF VANCOUVER"/>
    <s v="10034258 - CITY OF VANCOUVER"/>
    <s v="0001 - CITY OF VANCOUVER ACTIVE NON-UNIFORMED"/>
    <s v="0001 - ACTIVE"/>
    <s v="RXES1001 - ASC Custom RX Plan 1"/>
    <s v="Yes"/>
    <s v="Injury, poisoning and certain other consequences of external causes"/>
    <s v="Allergic reactions"/>
    <s v="L30.9 - Dermatitis, unspecified"/>
    <s v="DUPIXENT"/>
    <s v="May 2024"/>
    <n v="16.68"/>
    <s v="High Risk"/>
    <n v="534.25"/>
    <n v="17644.849999999999"/>
    <n v="18179.099999999999"/>
    <n v="28956.29"/>
    <n v="28956.29"/>
    <n v="23777.96"/>
    <n v="0"/>
    <n v="4"/>
    <n v="16"/>
  </r>
  <r>
    <s v="180176237-02"/>
    <x v="108"/>
    <s v="2021-05-13"/>
    <s v="Dependent"/>
    <s v="800000032 - CITY OF VANCOUVER"/>
    <s v="10034258 - CITY OF VANCOUVER"/>
    <s v="0001 - CITY OF VANCOUVER ACTIVE NON-UNIFORMED"/>
    <s v="0001 - ACTIVE"/>
    <s v="MESA1001 - ASC Custom Product 1"/>
    <s v="Yes"/>
    <s v="Diseases of the ear and mastoid process"/>
    <s v="Otitis media"/>
    <s v="H65.31 - Chronic mucoid otitis media, right ear"/>
    <s v="TACROLIMUS"/>
    <s v="Mar 2024"/>
    <n v="0.82"/>
    <s v="Low Risk"/>
    <n v="17797.259999999998"/>
    <n v="232.26"/>
    <n v="18029.52"/>
    <n v="24522.38"/>
    <n v="24392.38"/>
    <n v="20010.439999999999"/>
    <n v="0"/>
    <n v="43"/>
    <n v="10"/>
  </r>
  <r>
    <s v="170155737-01"/>
    <x v="109"/>
    <s v="1982-09-09"/>
    <s v="Spouse"/>
    <s v="800000032 - CITY OF VANCOUVER"/>
    <s v="10034258 - CITY OF VANCOUVER"/>
    <s v="0005 - CITY OF VANCOUVER POLICE GUILD COMMAND"/>
    <s v="0011 - POLICE GUILD/COMMAND"/>
    <s v="RXES1001 - ASC Custom RX Plan 1"/>
    <s v="Yes"/>
    <s v="Diseases of the circulatory system"/>
    <s v="Sleep wake disorders"/>
    <s v="G47.33 - Obstructive sleep apnea (adult) (pediatric)"/>
    <s v="ELIQUIS"/>
    <s v="May 2024"/>
    <n v="3.03"/>
    <s v="Medium Risk"/>
    <n v="9676.16"/>
    <n v="8245.7199999999993"/>
    <n v="17921.88"/>
    <n v="26982.19"/>
    <n v="26980.93"/>
    <n v="19702.189999999999"/>
    <n v="0"/>
    <n v="156"/>
    <n v="29"/>
  </r>
  <r>
    <s v="201035055-00"/>
    <x v="110"/>
    <s v="1969-05-09"/>
    <s v="Subscriber"/>
    <s v="800000032 - CITY OF VANCOUVER"/>
    <s v="10034258 - CITY OF VANCOUVER"/>
    <s v="0001 - CITY OF VANCOUVER ACTIVE NON-UNIFORMED"/>
    <s v="0001 - ACTIVE"/>
    <s v="RXES1001 - ASC Custom RX Plan 1"/>
    <s v="Yes"/>
    <s v="Diseases of the musculoskeletal system and connective tissue"/>
    <s v="Biomechanical lesions"/>
    <s v="M99.03 - Segmental and somatic dysfunction of lumbar region"/>
    <s v="OZEMPIC"/>
    <s v="May 2024"/>
    <n v="2.2000000000000002"/>
    <s v="Low Risk"/>
    <n v="418.18"/>
    <n v="17095.84"/>
    <n v="17514.02"/>
    <n v="27654.92"/>
    <n v="27654.92"/>
    <n v="19539.78"/>
    <n v="0"/>
    <n v="18"/>
    <n v="30"/>
  </r>
  <r>
    <s v="170155684-00"/>
    <x v="111"/>
    <s v="1959-04-10"/>
    <s v="Subscriber"/>
    <s v="800000032 - CITY OF VANCOUVER"/>
    <s v="10034258 - CITY OF VANCOUVER"/>
    <s v="0001 - CITY OF VANCOUVER ACTIVE NON-UNIFORMED"/>
    <s v="0001 - ACTIVE"/>
    <s v="RXES1001 - ASC Custom RX Plan 1"/>
    <s v="Yes"/>
    <s v="Diseases of the genitourinary system"/>
    <s v="Hematuria"/>
    <s v="R31.9 - Hematuria, unspecified"/>
    <s v="TRULICITY"/>
    <s v="May 2024"/>
    <n v="5.57"/>
    <s v="Medium Risk"/>
    <n v="9563.27"/>
    <n v="7923.57"/>
    <n v="17486.84"/>
    <n v="35691.370000000003"/>
    <n v="35691.370000000003"/>
    <n v="20155.29"/>
    <n v="0"/>
    <n v="352"/>
    <n v="34"/>
  </r>
  <r>
    <s v="190221962-02"/>
    <x v="112"/>
    <s v="2012-09-21"/>
    <s v="Dependent"/>
    <s v="800000032 - CITY OF VANCOUVER"/>
    <s v="10034258 - CITY OF VANCOUVER"/>
    <s v="0005 - CITY OF VANCOUVER POLICE GUILD COMMAND"/>
    <s v="0011 - POLICE GUILD/COMMAND"/>
    <s v="RXES1001 - ASC Custom RX Plan 1"/>
    <s v="Yes"/>
    <s v="Endocrine, nutritional and metabolic diseases"/>
    <s v="Diabetes mellitus without complication"/>
    <s v="E10.9 - Type 1 diabetes mellitus without complications"/>
    <s v="OMNIPOD 5 G6 PODS (GEN 5)"/>
    <s v="May 2024"/>
    <n v="1.88"/>
    <s v="Low Risk"/>
    <n v="2905.91"/>
    <n v="13927.72"/>
    <n v="16833.63"/>
    <n v="29485.87"/>
    <n v="27173.45"/>
    <n v="20129.93"/>
    <n v="0"/>
    <n v="17"/>
    <n v="26"/>
  </r>
  <r>
    <s v="220067761-01"/>
    <x v="113"/>
    <s v="1961-12-27"/>
    <s v="Spouse"/>
    <s v="800000032 - CITY OF VANCOUVER"/>
    <s v="10034258 - CITY OF VANCOUVER"/>
    <s v="0001 - CITY OF VANCOUVER ACTIVE NON-UNIFORMED"/>
    <s v="0001 - ACTIVE"/>
    <s v="MESA1001 - ASC Custom Product 1"/>
    <s v="Yes"/>
    <s v="Diseases of the musculoskeletal system and connective tissue"/>
    <s v="Abdominal pain and other digestive/abdomen signs and symptoms"/>
    <s v="R19.7 - Diarrhea, unspecified"/>
    <s v="TRAZODONE HYDROCHLORIDE"/>
    <s v="May 2024"/>
    <n v="2.66"/>
    <s v="Medium Risk"/>
    <n v="16591.810000000001"/>
    <n v="189.01"/>
    <n v="16780.82"/>
    <n v="34992.67"/>
    <n v="34230.67"/>
    <n v="19130.849999999999"/>
    <n v="0"/>
    <n v="72"/>
    <n v="19"/>
  </r>
  <r>
    <s v="210143836-01"/>
    <x v="114"/>
    <s v="1963-05-10"/>
    <s v="Spouse"/>
    <s v="800000032 - CITY OF VANCOUVER"/>
    <s v="10034259 - VANCOUVER HOUSING AUTHORITY"/>
    <s v="0001 - VANCOUVER HOUSING AUTHORITY"/>
    <s v="0001 - ACTIVE"/>
    <s v="RXES2001 - ASC Custom RX Plan 2"/>
    <s v="Yes"/>
    <s v="Diseases of the circulatory system"/>
    <s v="Cardiac dysrhythmias"/>
    <s v="I48.19 - Other persistent atrial fibrillation"/>
    <s v="ELIQUIS"/>
    <s v="May 2024"/>
    <n v="5.98"/>
    <s v="Medium Risk"/>
    <n v="11380"/>
    <n v="5299.99"/>
    <n v="16679.990000000002"/>
    <n v="35118.47"/>
    <n v="35118.47"/>
    <n v="19834.689999999999"/>
    <n v="0"/>
    <n v="86"/>
    <n v="66"/>
  </r>
  <r>
    <s v="170155797-00"/>
    <x v="115"/>
    <s v="1971-09-23"/>
    <s v="Subscriber"/>
    <s v="800000032 - CITY OF VANCOUVER"/>
    <s v="10034258 - CITY OF VANCOUVER"/>
    <s v="0001 - CITY OF VANCOUVER ACTIVE NON-UNIFORMED"/>
    <s v="0001 - ACTIVE"/>
    <s v="MESA1001 - ASC Custom Product 1"/>
    <s v="Yes"/>
    <s v="Diseases of the musculoskeletal system and connective tissue"/>
    <s v="Rheumatoid arthritis and related disease"/>
    <s v="M05.9 - Rheumatoid arthritis with rheumatoid factor, unspecified"/>
    <s v="OZEMPIC"/>
    <s v="May 2024"/>
    <n v="9.26"/>
    <s v="High Risk"/>
    <n v="9697.43"/>
    <n v="6921.63"/>
    <n v="16619.060000000001"/>
    <n v="53235.64"/>
    <n v="52223.64"/>
    <n v="18850.59"/>
    <n v="0"/>
    <n v="81"/>
    <n v="22"/>
  </r>
  <r>
    <s v="170155648-01"/>
    <x v="116"/>
    <s v="1966-11-04"/>
    <s v="Spouse"/>
    <s v="800000032 - CITY OF VANCOUVER"/>
    <s v="10034258 - CITY OF VANCOUVER"/>
    <s v="0001 - CITY OF VANCOUVER ACTIVE NON-UNIFORMED"/>
    <s v="0001 - ACTIVE"/>
    <s v="RXES1001 - ASC Custom RX Plan 1"/>
    <s v="Yes"/>
    <s v="Diseases of the musculoskeletal system and connective tissue"/>
    <s v="Rheumatoid arthritis and related disease"/>
    <s v="M05.79 - Rheumatoid arthritis with rheumatoid factor of multiple sites without organ or systems involvement"/>
    <s v="SODIUM SULFATE/POTASSIUMSULFATE/MAGNESIUM SULFATE"/>
    <s v="May 2024"/>
    <n v="8.1999999999999993"/>
    <s v="Medium Risk"/>
    <n v="16417.75"/>
    <n v="163.35"/>
    <n v="16581.099999999999"/>
    <n v="30103.040000000001"/>
    <n v="29933.040000000001"/>
    <n v="18945.2"/>
    <n v="0"/>
    <n v="94"/>
    <n v="9"/>
  </r>
  <r>
    <s v="*****"/>
    <x v="13"/>
    <s v="*****"/>
    <s v="Spouse"/>
    <s v="800000032 - CITY OF VANCOUVER"/>
    <s v="10034258 - CITY OF VANCOUVER"/>
    <s v="0001 - CITY OF VANCOUVER ACTIVE NON-UNIFORMED"/>
    <s v="0001 - ACTIVE"/>
    <s v="RXES1001 - ASC Custom RX Plan 1"/>
    <s v="Yes"/>
    <s v=""/>
    <s v=""/>
    <s v="!"/>
    <s v="PROPRANOLOL HYDROCHLORIDEER"/>
    <s v="May 2024"/>
    <n v="3.67"/>
    <s v="Medium Risk"/>
    <n v="15996.34"/>
    <n v="553.44000000000005"/>
    <n v="16549.78"/>
    <n v="68519.55"/>
    <n v="68519.55"/>
    <n v="19127.64"/>
    <n v="1"/>
    <n v="42"/>
    <n v="55"/>
  </r>
  <r>
    <s v="220081293-01"/>
    <x v="117"/>
    <s v="1957-02-25"/>
    <s v="Spouse"/>
    <s v="800000032 - CITY OF VANCOUVER"/>
    <s v="10034258 - CITY OF VANCOUVER"/>
    <s v="0001 - CITY OF VANCOUVER ACTIVE NON-UNIFORMED"/>
    <s v="0001 - ACTIVE"/>
    <s v="RXES1001 - ASC Custom RX Plan 1"/>
    <s v="No"/>
    <s v="Diseases of the musculoskeletal system and connective tissue"/>
    <s v="Spondylopathies/spondyloarthropathy (including infective)"/>
    <s v="M48.062 - Spinal stenosis, lumbar region with neurogenic claudication"/>
    <s v="GABAPENTIN"/>
    <s v="Apr 2024"/>
    <m/>
    <s v="N/A"/>
    <n v="16477.05"/>
    <n v="38.39"/>
    <n v="16515.439999999999"/>
    <n v="28414.07"/>
    <n v="28414.07"/>
    <n v="18627.37"/>
    <n v="0"/>
    <n v="23"/>
    <n v="11"/>
  </r>
  <r>
    <s v="170155587-01"/>
    <x v="118"/>
    <s v="2005-03-23"/>
    <s v="Dependent"/>
    <s v="800000032 - CITY OF VANCOUVER"/>
    <s v="10034258 - CITY OF VANCOUVER"/>
    <s v="0005 - CITY OF VANCOUVER POLICE GUILD COMMAND"/>
    <s v="0011 - POLICE GUILD/COMMAND"/>
    <s v="RXES1001 - ASC Custom RX Plan 1"/>
    <s v="Yes"/>
    <s v="Injury, poisoning and certain other consequences of external causes"/>
    <s v="Sprains and strains, initial encounter"/>
    <s v="S83.512A - Sprain of anterior cruciate ligament of left knee, initial encounter"/>
    <s v="LESSINA"/>
    <s v="Jan 2024"/>
    <n v="0.48"/>
    <s v="Low Risk"/>
    <n v="16243.85"/>
    <n v="248.92"/>
    <n v="16492.77"/>
    <n v="24651.52"/>
    <n v="29461.15"/>
    <n v="17928.3"/>
    <n v="0"/>
    <n v="39"/>
    <n v="2"/>
  </r>
  <r>
    <s v="170155902-00"/>
    <x v="119"/>
    <s v="1969-04-24"/>
    <s v="Subscriber"/>
    <s v="800000032 - CITY OF VANCOUVER"/>
    <s v="10034258 - CITY OF VANCOUVER"/>
    <s v="0005 - CITY OF VANCOUVER POLICE GUILD COMMAND"/>
    <s v="0011 - POLICE GUILD/COMMAND"/>
    <s v="RXHS1001 - HSA RX Plan 1"/>
    <s v="Yes"/>
    <s v="Diseases of the musculoskeletal system and connective tissue"/>
    <s v="Acquired deformities (excluding foot)"/>
    <s v="M21.831 - Other specified acquired deformities of right forearm"/>
    <s v="ACETAMINOPHEN/CODEINE"/>
    <s v="Mar 2024"/>
    <n v="1.22"/>
    <s v="Low Risk"/>
    <n v="16393.830000000002"/>
    <n v="28.89"/>
    <n v="16422.72"/>
    <n v="34748.97"/>
    <n v="34748.97"/>
    <n v="19117.189999999999"/>
    <n v="0"/>
    <n v="37"/>
    <n v="5"/>
  </r>
  <r>
    <s v="201008192-00"/>
    <x v="120"/>
    <s v="1961-11-23"/>
    <s v="Subscriber"/>
    <s v="800000032 - CITY OF VANCOUVER"/>
    <s v="10034259 - VANCOUVER HOUSING AUTHORITY"/>
    <s v="0001 - VANCOUVER HOUSING AUTHORITY"/>
    <s v="0001 - ACTIVE"/>
    <s v="RXHS1001 - HSA RX Plan 1"/>
    <s v="Yes"/>
    <s v="Endocrine, nutritional and metabolic diseases"/>
    <s v="Diabetes mellitus without complication"/>
    <s v="E11.9 - Type 2 diabetes mellitus without complications"/>
    <s v="OZEMPIC"/>
    <s v="May 2024"/>
    <n v="2.4900000000000002"/>
    <s v="Low Risk"/>
    <n v="5782.44"/>
    <n v="10520.68"/>
    <n v="16303.12"/>
    <n v="30228.71"/>
    <n v="30228.71"/>
    <n v="21554.2"/>
    <n v="0"/>
    <n v="49"/>
    <n v="41"/>
  </r>
  <r>
    <s v="170155813-01"/>
    <x v="121"/>
    <s v="1975-08-07"/>
    <s v="Spouse"/>
    <s v="800000032 - CITY OF VANCOUVER"/>
    <s v="10034258 - CITY OF VANCOUVER"/>
    <s v="0005 - CITY OF VANCOUVER POLICE GUILD COMMAND"/>
    <s v="0011 - POLICE GUILD/COMMAND"/>
    <s v="RXES1001 - ASC Custom RX Plan 1"/>
    <s v="Yes"/>
    <s v="Mental, behavioral and neurodevelopmental disorders"/>
    <s v="Anxiety and fear-related disorders"/>
    <s v="F41.9 - Anxiety disorder, unspecified"/>
    <s v="LOTEMAX"/>
    <s v="May 2024"/>
    <n v="2.68"/>
    <s v="Medium Risk"/>
    <n v="15620.65"/>
    <n v="565.62"/>
    <n v="16186.27"/>
    <n v="27763.11"/>
    <n v="25251.11"/>
    <n v="17866.53"/>
    <n v="0"/>
    <n v="108"/>
    <n v="28"/>
  </r>
  <r>
    <s v="220104615-01"/>
    <x v="122"/>
    <s v="1985-10-30"/>
    <s v="Spouse"/>
    <s v="800000032 - CITY OF VANCOUVER"/>
    <s v="10034258 - CITY OF VANCOUVER"/>
    <s v="0005 - CITY OF VANCOUVER POLICE GUILD COMMAND"/>
    <s v="0011 - POLICE GUILD/COMMAND"/>
    <s v="RXES1001 - ASC Custom RX Plan 1"/>
    <s v="Yes"/>
    <s v="Injury, poisoning and certain other consequences of external causes"/>
    <s v="Fracture of lower limb (except hip), subsequent encounter"/>
    <s v="S82.491K - Other fracture of shaft of right fibula, subsequent encounter for closed fracture with nonunion"/>
    <s v="FLUCONAZOLE"/>
    <s v="May 2024"/>
    <n v="0.54"/>
    <s v="Low Risk"/>
    <n v="16101.29"/>
    <n v="23.04"/>
    <n v="16124.33"/>
    <n v="33801.199999999997"/>
    <n v="33697.93"/>
    <n v="18676.61"/>
    <n v="0"/>
    <n v="43"/>
    <n v="6"/>
  </r>
  <r>
    <s v="220058735-00"/>
    <x v="123"/>
    <s v="1991-12-04"/>
    <s v="Subscriber"/>
    <s v="800000032 - CITY OF VANCOUVER"/>
    <s v="10034258 - CITY OF VANCOUVER"/>
    <s v="0001 - CITY OF VANCOUVER ACTIVE NON-UNIFORMED"/>
    <s v="0001 - ACTIVE"/>
    <s v="RXHS1001 - HSA RX Plan 1"/>
    <s v="Yes"/>
    <s v="Symptoms, signs and abnormal clinical and laboratory findings, not elsewhere classified"/>
    <s v="Abnormal findings without diagnosis"/>
    <s v="R87.619 - Unspecified abnormal cytological findings in specimens from cervix uteri"/>
    <s v="LEVONORGESTREL/ETHINYL ESTRADIOL"/>
    <s v="May 2024"/>
    <n v="1.53"/>
    <s v="Low Risk"/>
    <n v="14443.31"/>
    <n v="723.83"/>
    <n v="15167.14"/>
    <n v="27512.57"/>
    <n v="27512.57"/>
    <n v="18456.7"/>
    <n v="0"/>
    <n v="38"/>
    <n v="14"/>
  </r>
  <r>
    <s v="*****"/>
    <x v="13"/>
    <s v="*****"/>
    <s v="Subscriber"/>
    <s v="800000032 - CITY OF VANCOUVER"/>
    <s v="10034259 - VANCOUVER HOUSING AUTHORITY"/>
    <s v="0001 - VANCOUVER HOUSING AUTHORITY"/>
    <s v="0001 - ACTIVE"/>
    <s v="RXES2001 - ASC Custom RX Plan 2"/>
    <s v="No"/>
    <s v="Mental, behavioral and neurodevelopmental disorders"/>
    <s v=""/>
    <s v="!"/>
    <s v="VICTOZA"/>
    <s v="Sep 2023"/>
    <m/>
    <s v="N/A"/>
    <n v="5786.61"/>
    <n v="9138.1"/>
    <n v="14924.71"/>
    <n v="32257.200000000001"/>
    <n v="32257.200000000001"/>
    <n v="16302.01"/>
    <n v="0"/>
    <n v="113"/>
    <n v="24"/>
  </r>
  <r>
    <s v="210267364-03"/>
    <x v="124"/>
    <s v="2023-12-11"/>
    <s v="Dependent"/>
    <s v="800000032 - CITY OF VANCOUVER"/>
    <s v="10034258 - CITY OF VANCOUVER"/>
    <s v="0005 - CITY OF VANCOUVER POLICE GUILD COMMAND"/>
    <s v="0011 - POLICE GUILD/COMMAND"/>
    <s v="MESA1001 - ASC Custom Product 1"/>
    <s v="Yes"/>
    <s v="Certain conditions originating in the perinatal period"/>
    <s v="Liveborn"/>
    <s v="Z38.31 - Twin liveborn infant, delivered by cesarean"/>
    <m/>
    <s v="Apr 2024"/>
    <n v="1.61"/>
    <s v="Low Risk"/>
    <n v="14545.69"/>
    <m/>
    <n v="14545.69"/>
    <n v="22452.51"/>
    <n v="22452.51"/>
    <n v="17490.419999999998"/>
    <n v="1"/>
    <n v="46"/>
    <n v="0"/>
  </r>
  <r>
    <s v="170155580-00"/>
    <x v="125"/>
    <s v="1962-02-24"/>
    <s v="Subscriber"/>
    <s v="800000032 - CITY OF VANCOUVER"/>
    <s v="10034258 - CITY OF VANCOUVER"/>
    <s v="0001 - CITY OF VANCOUVER ACTIVE NON-UNIFORMED"/>
    <s v="0001 - ACTIVE"/>
    <s v="MESA1001 - ASC Custom Product 1"/>
    <s v="No"/>
    <s v="Diseases of the musculoskeletal system and connective tissue"/>
    <s v="Biomechanical lesions"/>
    <s v="M99.03 - Segmental and somatic dysfunction of lumbar region"/>
    <s v="MOUNJARO"/>
    <s v="Mar 2024"/>
    <m/>
    <s v="N/A"/>
    <n v="11834.96"/>
    <n v="2671.98"/>
    <n v="14506.94"/>
    <n v="40581.589999999997"/>
    <n v="38507.589999999997"/>
    <n v="17804.14"/>
    <n v="0"/>
    <n v="130"/>
    <n v="19"/>
  </r>
  <r>
    <s v="170155879-02"/>
    <x v="126"/>
    <s v="1998-08-02"/>
    <s v="Dependent"/>
    <s v="800000032 - CITY OF VANCOUVER"/>
    <s v="10034258 - CITY OF VANCOUVER"/>
    <s v="0001 - CITY OF VANCOUVER ACTIVE NON-UNIFORMED"/>
    <s v="0001 - ACTIVE"/>
    <s v="MHSA1001 - HSA Medical Plan 1"/>
    <s v="Yes"/>
    <s v="Pregnancy, childbirth and the puerperium"/>
    <s v="Complications specified during childbirth"/>
    <s v="O99.02 - Anemia complicating childbirth"/>
    <s v="FLOVENT HFA"/>
    <s v="Apr 2024"/>
    <n v="0.36"/>
    <s v="Low Risk"/>
    <n v="13896.44"/>
    <n v="553.99"/>
    <n v="14450.43"/>
    <n v="29518.97"/>
    <n v="29518.97"/>
    <n v="20181.47"/>
    <n v="1"/>
    <n v="57"/>
    <n v="9"/>
  </r>
  <r>
    <s v="170155819-00"/>
    <x v="127"/>
    <s v="1961-10-27"/>
    <s v="Subscriber"/>
    <s v="800000032 - CITY OF VANCOUVER"/>
    <s v="10034258 - CITY OF VANCOUVER"/>
    <s v="0001 - CITY OF VANCOUVER ACTIVE NON-UNIFORMED"/>
    <s v="0001 - ACTIVE"/>
    <s v="MESA1001 - ASC Custom Product 1"/>
    <s v="Yes"/>
    <s v="Diseases of the musculoskeletal system and connective tissue"/>
    <s v="Osteoarthritis"/>
    <s v="M19.071 - Primary osteoarthritis, right ankle and foot"/>
    <s v="SCOPOLAMINE"/>
    <s v="May 2024"/>
    <n v="2.0099999999999998"/>
    <s v="Low Risk"/>
    <n v="13917.84"/>
    <n v="428.12"/>
    <n v="14345.96"/>
    <n v="50564.65"/>
    <n v="49994.65"/>
    <n v="16685.310000000001"/>
    <n v="0"/>
    <n v="63"/>
    <n v="13"/>
  </r>
  <r>
    <s v="170155782-02"/>
    <x v="128"/>
    <s v="1998-09-04"/>
    <s v="Dependent"/>
    <s v="800000032 - CITY OF VANCOUVER"/>
    <s v="10034258 - CITY OF VANCOUVER"/>
    <s v="0001 - CITY OF VANCOUVER ACTIVE NON-UNIFORMED"/>
    <s v="0001 - ACTIVE"/>
    <s v="MESA1001 - ASC Custom Product 1"/>
    <s v="Yes"/>
    <s v="Diseases of the musculoskeletal system and connective tissue"/>
    <s v="Spondylopathies/spondyloarthropathy (including infective)"/>
    <s v="M50.13 - Cervical disc disorder with radiculopathy, cervicothoracic region"/>
    <m/>
    <s v="May 2024"/>
    <n v="0.92"/>
    <s v="Low Risk"/>
    <n v="14004.86"/>
    <m/>
    <n v="14004.86"/>
    <n v="26849"/>
    <n v="26849"/>
    <n v="15447.25"/>
    <n v="0"/>
    <n v="415"/>
    <n v="0"/>
  </r>
  <r>
    <s v="170155731-01"/>
    <x v="129"/>
    <s v="1978-05-30"/>
    <s v="Spouse"/>
    <s v="800000032 - CITY OF VANCOUVER"/>
    <s v="10034258 - CITY OF VANCOUVER"/>
    <s v="0001 - CITY OF VANCOUVER ACTIVE NON-UNIFORMED"/>
    <s v="0001 - ACTIVE"/>
    <s v="RXES1001 - ASC Custom RX Plan 1"/>
    <s v="Yes"/>
    <s v="Symptoms, signs and abnormal clinical and laboratory findings, not elsewhere classified"/>
    <s v="Nervous system signs and symptoms"/>
    <s v="R41.841 - Cognitive communication deficit"/>
    <s v="BUPROPION HYDROCHLORIDE ER (XL)"/>
    <s v="May 2024"/>
    <n v="1.88"/>
    <s v="Low Risk"/>
    <n v="13237.86"/>
    <n v="753.06"/>
    <n v="13990.92"/>
    <n v="25393.68"/>
    <n v="23602.68"/>
    <n v="15507.09"/>
    <n v="0"/>
    <n v="95"/>
    <n v="19"/>
  </r>
  <r>
    <s v="170155773-00"/>
    <x v="130"/>
    <s v="1981-10-07"/>
    <s v="Subscriber"/>
    <s v="800000032 - CITY OF VANCOUVER"/>
    <s v="10034258 - CITY OF VANCOUVER"/>
    <s v="0001 - CITY OF VANCOUVER ACTIVE NON-UNIFORMED"/>
    <s v="0001 - ACTIVE"/>
    <s v="RXES1001 - ASC Custom RX Plan 1"/>
    <s v="Yes"/>
    <s v="Mental, behavioral and neurodevelopmental disorders"/>
    <s v="Neurodevelopmental disorders"/>
    <s v="F89 - Unspecified disorder of psychological development"/>
    <s v="SPIRIVA RESPIMAT"/>
    <s v="Apr 2024"/>
    <n v="1.76"/>
    <s v="Low Risk"/>
    <n v="3745.86"/>
    <n v="10025.379999999999"/>
    <n v="13771.24"/>
    <n v="21025.439999999999"/>
    <n v="21025.439999999999"/>
    <n v="15136.36"/>
    <n v="0"/>
    <n v="38"/>
    <n v="25"/>
  </r>
  <r>
    <s v="170155690-00"/>
    <x v="131"/>
    <s v="1970-11-27"/>
    <s v="Subscriber"/>
    <s v="800000032 - CITY OF VANCOUVER"/>
    <s v="10034258 - CITY OF VANCOUVER"/>
    <s v="0005 - CITY OF VANCOUVER POLICE GUILD COMMAND"/>
    <s v="0011 - POLICE GUILD/COMMAND"/>
    <s v="RXES1001 - ASC Custom RX Plan 1"/>
    <s v="Yes"/>
    <s v="Diseases of the circulatory system"/>
    <s v="Coronary atherosclerosis and other heart disease"/>
    <s v="I25.10 - Atherosclerotic heart disease of native coronary artery without angina pectoris"/>
    <s v="ALLOPURINOL"/>
    <s v="May 2024"/>
    <n v="3.66"/>
    <s v="Medium Risk"/>
    <n v="13315.7"/>
    <n v="322.72000000000003"/>
    <n v="13638.42"/>
    <n v="39767.019999999997"/>
    <n v="39767.019999999997"/>
    <n v="16480.02"/>
    <n v="0"/>
    <n v="54"/>
    <n v="50"/>
  </r>
  <r>
    <s v="190120692-00"/>
    <x v="132"/>
    <s v="1993-07-02"/>
    <s v="Subscriber"/>
    <s v="800000032 - CITY OF VANCOUVER"/>
    <s v="10034258 - CITY OF VANCOUVER"/>
    <s v="0005 - CITY OF VANCOUVER POLICE GUILD COMMAND"/>
    <s v="0011 - POLICE GUILD/COMMAND"/>
    <s v="RXES1001 - ASC Custom RX Plan 1"/>
    <s v="Yes"/>
    <s v="Diseases of the digestive system"/>
    <s v="Other specified and unspecified gastrointestinal disorders"/>
    <s v="F33.1 - Major depressive disorder, recurrent, moderate"/>
    <s v="APLENZIN"/>
    <s v="May 2024"/>
    <n v="3.28"/>
    <s v="Medium Risk"/>
    <n v="4504.2700000000004"/>
    <n v="8565.2099999999991"/>
    <n v="13069.48"/>
    <n v="34755.26"/>
    <n v="32779.35"/>
    <n v="16287.59"/>
    <n v="0"/>
    <n v="63"/>
    <n v="29"/>
  </r>
  <r>
    <s v="220235897-01"/>
    <x v="133"/>
    <s v="1981-08-09"/>
    <s v="Spouse"/>
    <s v="800000032 - CITY OF VANCOUVER"/>
    <s v="10034259 - VANCOUVER HOUSING AUTHORITY"/>
    <s v="0001 - VANCOUVER HOUSING AUTHORITY"/>
    <s v="0001 - ACTIVE"/>
    <s v="RXES2001 - ASC Custom RX Plan 2"/>
    <s v="Yes"/>
    <s v="Diseases of the musculoskeletal system and connective tissue"/>
    <s v="Abnormal findings without diagnosis"/>
    <s v="R92.8 - Other abnormal and inconclusive findings on diagnostic imaging of breast"/>
    <s v="OZEMPIC"/>
    <s v="May 2024"/>
    <n v="2.81"/>
    <s v="Medium Risk"/>
    <n v="6265.69"/>
    <n v="6720.63"/>
    <n v="12986.32"/>
    <n v="20465.32"/>
    <n v="20465.32"/>
    <n v="14951.53"/>
    <n v="0"/>
    <n v="72"/>
    <n v="35"/>
  </r>
  <r>
    <s v="210163728-03"/>
    <x v="134"/>
    <s v="2019-02-16"/>
    <s v="Dependent"/>
    <s v="800000032 - CITY OF VANCOUVER"/>
    <s v="10034258 - CITY OF VANCOUVER"/>
    <s v="0001 - CITY OF VANCOUVER ACTIVE NON-UNIFORMED"/>
    <s v="0001 - ACTIVE"/>
    <s v="RXES1001 - ASC Custom RX Plan 1"/>
    <s v="Yes"/>
    <s v="Mental, behavioral and neurodevelopmental disorders"/>
    <s v="Neurodevelopmental disorders"/>
    <s v="F90.8 - Attention-deficit hyperactivity disorder, other type"/>
    <s v="ATOMOXETINE HYDROCHLORIDE"/>
    <s v="May 2024"/>
    <n v="1.21"/>
    <s v="Low Risk"/>
    <n v="11299.22"/>
    <n v="1516.22"/>
    <n v="12815.44"/>
    <n v="23220.16"/>
    <n v="23220.16"/>
    <n v="13259.87"/>
    <n v="0"/>
    <n v="177"/>
    <n v="34"/>
  </r>
  <r>
    <s v="220140707-01"/>
    <x v="135"/>
    <s v="1962-07-10"/>
    <s v="Spouse"/>
    <s v="800000032 - CITY OF VANCOUVER"/>
    <s v="10034258 - CITY OF VANCOUVER"/>
    <s v="0001 - CITY OF VANCOUVER ACTIVE NON-UNIFORMED"/>
    <s v="0001 - ACTIVE"/>
    <s v="RXES1001 - ASC Custom RX Plan 1"/>
    <s v="Yes"/>
    <s v="Diseases of the circulatory system"/>
    <s v="Varicose veins of lower extremity"/>
    <s v="I83.892 - Varicose veins of left lower extremity with other complications"/>
    <s v="ELIQUIS STARTER PACK"/>
    <s v="May 2024"/>
    <n v="2.0499999999999998"/>
    <s v="Low Risk"/>
    <n v="11442.34"/>
    <n v="1267.48"/>
    <n v="12709.82"/>
    <n v="20694.990000000002"/>
    <n v="20694.990000000002"/>
    <n v="15092.7"/>
    <n v="0"/>
    <n v="71"/>
    <n v="21"/>
  </r>
  <r>
    <s v="190083863-01"/>
    <x v="136"/>
    <s v="1963-12-04"/>
    <s v="Spouse"/>
    <s v="800000032 - CITY OF VANCOUVER"/>
    <s v="10034259 - VANCOUVER HOUSING AUTHORITY"/>
    <s v="0001 - VANCOUVER HOUSING AUTHORITY"/>
    <s v="0001 - ACTIVE"/>
    <s v="RXES2001 - ASC Custom RX Plan 2"/>
    <s v="Yes"/>
    <s v="Endocrine, nutritional and metabolic diseases"/>
    <s v="Personal/family history of disease"/>
    <s v="Z87.891 - Personal history of nicotine dependence"/>
    <s v="OZEMPIC"/>
    <s v="May 2024"/>
    <n v="2.85"/>
    <s v="Medium Risk"/>
    <n v="1578.62"/>
    <n v="11117.93"/>
    <n v="12696.55"/>
    <n v="19873.97"/>
    <n v="19873.97"/>
    <n v="13974.46"/>
    <n v="0"/>
    <n v="24"/>
    <n v="35"/>
  </r>
  <r>
    <s v="170155615-01"/>
    <x v="137"/>
    <s v="1969-08-05"/>
    <s v="Spouse"/>
    <s v="800000032 - CITY OF VANCOUVER"/>
    <s v="10034258 - CITY OF VANCOUVER"/>
    <s v="0005 - CITY OF VANCOUVER POLICE GUILD COMMAND"/>
    <s v="0011 - POLICE GUILD/COMMAND"/>
    <s v="MESA1001 - ASC Custom Product 1"/>
    <s v="No"/>
    <s v="Diseases of the musculoskeletal system and connective tissue"/>
    <s v="Abnormal findings without diagnosis"/>
    <s v="M54.2 - Cervicalgia"/>
    <s v="MOUNJARO"/>
    <s v="Mar 2024"/>
    <m/>
    <s v="N/A"/>
    <n v="5539.64"/>
    <n v="6920.93"/>
    <n v="12460.57"/>
    <n v="29491.46"/>
    <n v="24306.46"/>
    <n v="16905.28"/>
    <n v="0"/>
    <n v="62"/>
    <n v="19"/>
  </r>
  <r>
    <s v="230305973-00"/>
    <x v="138"/>
    <s v="1967-12-06"/>
    <s v="Subscriber"/>
    <s v="800000032 - CITY OF VANCOUVER"/>
    <s v="10034259 - VANCOUVER HOUSING AUTHORITY"/>
    <s v="0001 - VANCOUVER HOUSING AUTHORITY"/>
    <s v="0001 - ACTIVE"/>
    <s v="RXHS1001 - HSA RX Plan 1"/>
    <s v="Yes"/>
    <s v="Diseases of the circulatory system"/>
    <s v="Nonspecific chest pain"/>
    <s v="R07.9 - Chest pain, unspecified"/>
    <s v="MOUNJARO"/>
    <s v="May 2024"/>
    <n v="4.4400000000000004"/>
    <s v="Medium Risk"/>
    <n v="9064.18"/>
    <n v="3290.36"/>
    <n v="12354.54"/>
    <n v="32084.65"/>
    <n v="32084.65"/>
    <n v="16958.810000000001"/>
    <n v="0"/>
    <n v="34"/>
    <n v="22"/>
  </r>
  <r>
    <s v="170155757-01"/>
    <x v="139"/>
    <s v="1967-03-03"/>
    <s v="Spouse"/>
    <s v="800000032 - CITY OF VANCOUVER"/>
    <s v="10034258 - CITY OF VANCOUVER"/>
    <s v="0004 - CITY OF VANCOUVER COBRA"/>
    <s v="0008 - ACTIVE COBRA"/>
    <s v="MESA1001 - ASC Custom Product 1"/>
    <s v="No"/>
    <s v="Symptoms, signs and abnormal clinical and laboratory findings, not elsewhere classified"/>
    <s v="Musculoskeletal pain, not low back pain"/>
    <s v="R42 - Dizziness and giddiness"/>
    <s v="ESTRADIOL"/>
    <s v="Dec 2023"/>
    <m/>
    <s v="N/A"/>
    <n v="11334.01"/>
    <n v="990.46"/>
    <n v="12324.47"/>
    <n v="23301.87"/>
    <n v="23301.87"/>
    <n v="14600.64"/>
    <n v="0"/>
    <n v="86"/>
    <n v="13"/>
  </r>
  <r>
    <s v="170155665-01"/>
    <x v="140"/>
    <s v="1981-06-12"/>
    <s v="Spouse"/>
    <s v="800000032 - CITY OF VANCOUVER"/>
    <s v="10034258 - CITY OF VANCOUVER"/>
    <s v="0005 - CITY OF VANCOUVER POLICE GUILD COMMAND"/>
    <s v="0011 - POLICE GUILD/COMMAND"/>
    <s v="RXES1001 - ASC Custom RX Plan 1"/>
    <s v="No"/>
    <s v="Diseases of the genitourinary system"/>
    <s v="Urinary incontinence"/>
    <s v="N39.3 - Stress incontinence (female) (male)"/>
    <s v="VALACYCLOVIR HYDROCHLORIDE"/>
    <s v="Nov 2023"/>
    <m/>
    <s v="N/A"/>
    <n v="11679.79"/>
    <n v="429.7"/>
    <n v="12109.49"/>
    <n v="20349.419999999998"/>
    <n v="20064.419999999998"/>
    <n v="13597.31"/>
    <n v="0"/>
    <n v="34"/>
    <n v="13"/>
  </r>
  <r>
    <s v="190175618-01"/>
    <x v="141"/>
    <s v="1983-11-28"/>
    <s v="Spouse"/>
    <s v="800000032 - CITY OF VANCOUVER"/>
    <s v="10034258 - CITY OF VANCOUVER"/>
    <s v="0001 - CITY OF VANCOUVER ACTIVE NON-UNIFORMED"/>
    <s v="0001 - ACTIVE"/>
    <s v="RXHS1001 - HSA RX Plan 1"/>
    <s v="Yes"/>
    <s v="Symptoms, signs and abnormal clinical and laboratory findings, not elsewhere classified"/>
    <s v="Abdominal pain and other digestive/abdomen signs and symptoms"/>
    <s v="R10.9 - Unspecified abdominal pain"/>
    <s v="BUPROPION HYDROCHLORIDE"/>
    <s v="May 2024"/>
    <n v="1.25"/>
    <s v="Low Risk"/>
    <n v="11726.29"/>
    <n v="272.64"/>
    <n v="11998.93"/>
    <n v="23630.68"/>
    <n v="23547.68"/>
    <n v="13125.84"/>
    <n v="0"/>
    <n v="101"/>
    <n v="9"/>
  </r>
  <r>
    <s v="170155725-01"/>
    <x v="142"/>
    <s v="1963-07-18"/>
    <s v="Spouse"/>
    <s v="800000032 - CITY OF VANCOUVER"/>
    <s v="10034258 - CITY OF VANCOUVER"/>
    <s v="0005 - CITY OF VANCOUVER POLICE GUILD COMMAND"/>
    <s v="0011 - POLICE GUILD/COMMAND"/>
    <s v="RXES1001 - ASC Custom RX Plan 1"/>
    <s v="Yes"/>
    <s v="Diseases of the musculoskeletal system and connective tissue"/>
    <s v="Spondylopathies/spondyloarthropathy (including infective)"/>
    <s v="R42 - Dizziness and giddiness"/>
    <s v="XYOSTED"/>
    <s v="May 2024"/>
    <n v="4.37"/>
    <s v="Medium Risk"/>
    <n v="7935.26"/>
    <n v="4017.54"/>
    <n v="11952.8"/>
    <n v="28355.279999999999"/>
    <n v="28355.279999999999"/>
    <n v="14069.6"/>
    <n v="0"/>
    <n v="45"/>
    <n v="73"/>
  </r>
  <r>
    <s v="210088601-00"/>
    <x v="143"/>
    <s v="1978-08-18"/>
    <s v="Subscriber"/>
    <s v="800000032 - CITY OF VANCOUVER"/>
    <s v="10034258 - CITY OF VANCOUVER"/>
    <s v="0001 - CITY OF VANCOUVER ACTIVE NON-UNIFORMED"/>
    <s v="0001 - ACTIVE"/>
    <s v="RXHS1001 - HSA RX Plan 1"/>
    <s v="Yes"/>
    <s v="Factors influencing health status and contact with health services"/>
    <s v="Neoplasm-related encounters"/>
    <s v="Z30.430 - Encounter for insertion of intrauterine contraceptive device"/>
    <s v="MOUNJARO"/>
    <s v="May 2024"/>
    <n v="1.92"/>
    <s v="Low Risk"/>
    <n v="5992.84"/>
    <n v="5825.63"/>
    <n v="11818.47"/>
    <n v="19997.310000000001"/>
    <n v="19997.310000000001"/>
    <n v="15518.46"/>
    <n v="0"/>
    <n v="33"/>
    <n v="18"/>
  </r>
  <r>
    <s v="230157052-01"/>
    <x v="144"/>
    <s v="1986-07-27"/>
    <s v="Spouse"/>
    <s v="800000032 - CITY OF VANCOUVER"/>
    <s v="10034258 - CITY OF VANCOUVER"/>
    <s v="0001 - CITY OF VANCOUVER ACTIVE NON-UNIFORMED"/>
    <s v="0001 - ACTIVE"/>
    <s v="RXES1001 - ASC Custom RX Plan 1"/>
    <s v="Yes"/>
    <s v="Diseases of the circulatory system"/>
    <s v="Other and ill-defined cerebrovascular disease"/>
    <s v="I67.1 - Cerebral aneurysm, nonruptured"/>
    <s v="SPIKEVAX COVID-19 VACCINE/2023-24"/>
    <s v="May 2024"/>
    <n v="1.59"/>
    <s v="Low Risk"/>
    <n v="11688.7"/>
    <n v="126.55"/>
    <n v="11815.25"/>
    <n v="23485.919999999998"/>
    <n v="22900.92"/>
    <n v="14770.97"/>
    <n v="0"/>
    <n v="42"/>
    <n v="6"/>
  </r>
  <r>
    <s v="170155667-00"/>
    <x v="145"/>
    <s v="1968-07-24"/>
    <s v="Subscriber"/>
    <s v="800000032 - CITY OF VANCOUVER"/>
    <s v="10034258 - CITY OF VANCOUVER"/>
    <s v="0001 - CITY OF VANCOUVER ACTIVE NON-UNIFORMED"/>
    <s v="0001 - ACTIVE"/>
    <s v="MESA1001 - ASC Custom Product 1"/>
    <s v="Yes"/>
    <s v="Neoplasms"/>
    <s v="Male reproductive system cancers - prostate"/>
    <s v="C61 - Malignant neoplasm of prostate"/>
    <s v="COMIRNATY 2023-24"/>
    <s v="Apr 2024"/>
    <n v="1.88"/>
    <s v="Low Risk"/>
    <n v="11599.06"/>
    <n v="186.81"/>
    <n v="11785.87"/>
    <n v="26001.58"/>
    <n v="21401.58"/>
    <n v="14160.43"/>
    <n v="0"/>
    <n v="33"/>
    <n v="2"/>
  </r>
  <r>
    <s v="170156001-00"/>
    <x v="146"/>
    <s v="1977-10-24"/>
    <s v="Subscriber"/>
    <s v="800000032 - CITY OF VANCOUVER"/>
    <s v="10034259 - VANCOUVER HOUSING AUTHORITY"/>
    <s v="0001 - VANCOUVER HOUSING AUTHORITY"/>
    <s v="0001 - ACTIVE"/>
    <s v="RXES2001 - ASC Custom RX Plan 2"/>
    <s v="Yes"/>
    <s v="Diseases of the digestive system"/>
    <s v="Regional enteritis and ulcerative colitis"/>
    <s v="K50.014 - Crohn's disease of small intestine with abscess"/>
    <s v="OMEPRAZOLE"/>
    <s v="May 2024"/>
    <n v="7.86"/>
    <s v="Medium Risk"/>
    <n v="11693.97"/>
    <n v="61.99"/>
    <n v="11755.96"/>
    <n v="19199.330000000002"/>
    <n v="18645.330000000002"/>
    <n v="14760.12"/>
    <n v="0"/>
    <n v="32"/>
    <n v="7"/>
  </r>
  <r>
    <s v="210115177-00"/>
    <x v="147"/>
    <s v="1988-07-08"/>
    <s v="Subscriber"/>
    <s v="800000032 - CITY OF VANCOUVER"/>
    <s v="10034258 - CITY OF VANCOUVER"/>
    <s v="0001 - CITY OF VANCOUVER ACTIVE NON-UNIFORMED"/>
    <s v="0001 - ACTIVE"/>
    <s v="RXHS1001 - HSA RX Plan 1"/>
    <s v="Yes"/>
    <s v="Pregnancy, childbirth and the puerperium"/>
    <s v="Prolonged pregnancy"/>
    <s v="O48.0 - Post-term pregnancy"/>
    <s v="ONDANSETRON HYDROCHLORIDE"/>
    <s v="May 2024"/>
    <n v="0.5"/>
    <s v="Low Risk"/>
    <n v="11725.67"/>
    <n v="13.97"/>
    <n v="11739.64"/>
    <n v="22624.7"/>
    <n v="22389.7"/>
    <n v="17556.32"/>
    <n v="1"/>
    <n v="41"/>
    <n v="3"/>
  </r>
  <r>
    <s v="210267363-00"/>
    <x v="148"/>
    <s v="1989-05-10"/>
    <s v="Subscriber"/>
    <s v="800000032 - CITY OF VANCOUVER"/>
    <s v="10034258 - CITY OF VANCOUVER"/>
    <s v="0005 - CITY OF VANCOUVER POLICE GUILD COMMAND"/>
    <s v="0011 - POLICE GUILD/COMMAND"/>
    <s v="RXES1001 - ASC Custom RX Plan 1"/>
    <s v="Yes"/>
    <s v="Injury, poisoning and certain other consequences of external causes"/>
    <s v="Sprains and strains, initial encounter"/>
    <s v="S39.012A - Strain of muscle, fascia and tendon of lower back, initial encounter"/>
    <s v="XYOSTED"/>
    <s v="May 2024"/>
    <n v="1.51"/>
    <s v="Low Risk"/>
    <n v="2460.91"/>
    <n v="9078.8799999999992"/>
    <n v="11539.79"/>
    <n v="19394.28"/>
    <n v="19284.28"/>
    <n v="13066.19"/>
    <n v="0"/>
    <n v="45"/>
    <n v="31"/>
  </r>
  <r>
    <s v="170155693-00"/>
    <x v="149"/>
    <s v="1974-12-04"/>
    <s v="Subscriber"/>
    <s v="800000032 - CITY OF VANCOUVER"/>
    <s v="10034258 - CITY OF VANCOUVER"/>
    <s v="0001 - CITY OF VANCOUVER ACTIVE NON-UNIFORMED"/>
    <s v="0001 - ACTIVE"/>
    <s v="MESA1001 - ASC Custom Product 1"/>
    <s v="Yes"/>
    <s v="Diseases of the musculoskeletal system and connective tissue"/>
    <s v="Low back pain"/>
    <s v="M54.50 - Low back pain, unspecified"/>
    <s v="TESTOSTERONE CYPIONATE"/>
    <s v="May 2024"/>
    <n v="1.28"/>
    <s v="Low Risk"/>
    <n v="10886.34"/>
    <n v="625.36"/>
    <n v="11511.7"/>
    <n v="21963.94"/>
    <n v="21518.94"/>
    <n v="13414.48"/>
    <n v="0"/>
    <n v="78"/>
    <n v="14"/>
  </r>
  <r>
    <s v="170155667-01"/>
    <x v="150"/>
    <s v="1971-02-27"/>
    <s v="Spouse"/>
    <s v="800000032 - CITY OF VANCOUVER"/>
    <s v="10034258 - CITY OF VANCOUVER"/>
    <s v="0001 - CITY OF VANCOUVER ACTIVE NON-UNIFORMED"/>
    <s v="0001 - ACTIVE"/>
    <s v="RXES1001 - ASC Custom RX Plan 1"/>
    <s v="Yes"/>
    <s v="Diseases of the musculoskeletal system and connective tissue"/>
    <s v="Spondylopathies/spondyloarthropathy (including infective)"/>
    <s v="M54.2 - Cervicalgia"/>
    <s v="COMBIPATCH"/>
    <s v="May 2024"/>
    <n v="1.76"/>
    <s v="Low Risk"/>
    <n v="7967.99"/>
    <n v="3451.01"/>
    <n v="11419"/>
    <n v="21818.26"/>
    <n v="21818.26"/>
    <n v="13803.02"/>
    <n v="0"/>
    <n v="75"/>
    <n v="36"/>
  </r>
  <r>
    <s v="190075824-00"/>
    <x v="151"/>
    <s v="1960-09-25"/>
    <s v="Subscriber"/>
    <s v="800000032 - CITY OF VANCOUVER"/>
    <s v="10034258 - CITY OF VANCOUVER"/>
    <s v="0001 - CITY OF VANCOUVER ACTIVE NON-UNIFORMED"/>
    <s v="0001 - ACTIVE"/>
    <s v="RXES1001 - ASC Custom RX Plan 1"/>
    <s v="Yes"/>
    <s v="Diseases of the circulatory system"/>
    <s v="Nonspecific chest pain"/>
    <s v="R07.9 - Chest pain, unspecified"/>
    <s v="JARDIANCE"/>
    <s v="May 2024"/>
    <n v="2.57"/>
    <s v="Low Risk"/>
    <n v="4046.83"/>
    <n v="7361.18"/>
    <n v="11408.01"/>
    <n v="24755.25"/>
    <n v="24755.25"/>
    <n v="13133.96"/>
    <n v="0"/>
    <n v="23"/>
    <n v="30"/>
  </r>
  <r>
    <s v="220118546-01"/>
    <x v="152"/>
    <s v="1991-12-08"/>
    <s v="Spouse"/>
    <s v="800000032 - CITY OF VANCOUVER"/>
    <s v="10034258 - CITY OF VANCOUVER"/>
    <s v="0001 - CITY OF VANCOUVER ACTIVE NON-UNIFORMED"/>
    <s v="0001 - ACTIVE"/>
    <s v="RXES1001 - ASC Custom RX Plan 1"/>
    <s v="Yes"/>
    <s v="Pregnancy, childbirth and the puerperium"/>
    <s v="Other specified complications in pregnancy"/>
    <s v="O99.513 - Diseases of the respiratory system complicating pregnancy, third trimester"/>
    <s v="RECTIV"/>
    <s v="May 2024"/>
    <n v="2.52"/>
    <s v="Low Risk"/>
    <n v="10098.94"/>
    <n v="1307.8399999999999"/>
    <n v="11406.78"/>
    <n v="124005.62"/>
    <n v="71906.33"/>
    <n v="51395.39"/>
    <n v="0"/>
    <n v="193"/>
    <n v="9"/>
  </r>
  <r>
    <s v="170155797-01"/>
    <x v="153"/>
    <s v="1974-12-20"/>
    <s v="Spouse"/>
    <s v="800000032 - CITY OF VANCOUVER"/>
    <s v="10034258 - CITY OF VANCOUVER"/>
    <s v="0001 - CITY OF VANCOUVER ACTIVE NON-UNIFORMED"/>
    <s v="0001 - ACTIVE"/>
    <s v="MESA1001 - ASC Custom Product 1"/>
    <s v="Yes"/>
    <s v="Diseases of the genitourinary system"/>
    <s v="Menopausal disorders"/>
    <s v="J45.30 - Mild persistent asthma, uncomplicated"/>
    <s v="OZEMPIC"/>
    <s v="May 2024"/>
    <n v="1.38"/>
    <s v="Low Risk"/>
    <n v="4622.96"/>
    <n v="6776.08"/>
    <n v="11399.04"/>
    <n v="20928.59"/>
    <n v="20468.59"/>
    <n v="12943.19"/>
    <n v="0"/>
    <n v="73"/>
    <n v="21"/>
  </r>
  <r>
    <s v="170155813-02"/>
    <x v="154"/>
    <s v="2004-09-10"/>
    <s v="Dependent"/>
    <s v="800000032 - CITY OF VANCOUVER"/>
    <s v="10034258 - CITY OF VANCOUVER"/>
    <s v="0005 - CITY OF VANCOUVER POLICE GUILD COMMAND"/>
    <s v="0011 - POLICE GUILD/COMMAND"/>
    <s v="RXES1001 - ASC Custom RX Plan 1"/>
    <s v="Yes"/>
    <s v="Injury, poisoning and certain other consequences of external causes"/>
    <s v="Fracture of the spine and back, initial encounter"/>
    <s v="S32.029A - Unspecified fracture of second lumbar vertebra, initial encounter for closed fracture"/>
    <s v="CHLORHEXIDINE GLUCONATE"/>
    <s v="Apr 2024"/>
    <n v="0.48"/>
    <s v="Low Risk"/>
    <n v="11357.18"/>
    <n v="12.1"/>
    <n v="11369.28"/>
    <n v="5375.98"/>
    <n v="25582.11"/>
    <n v="12943.14"/>
    <n v="0"/>
    <n v="35"/>
    <n v="4"/>
  </r>
  <r>
    <s v="170155876-00"/>
    <x v="155"/>
    <s v="1959-07-04"/>
    <s v="Subscriber"/>
    <s v="800000032 - CITY OF VANCOUVER"/>
    <s v="10034258 - CITY OF VANCOUVER"/>
    <s v="0001 - CITY OF VANCOUVER ACTIVE NON-UNIFORMED"/>
    <s v="0001 - ACTIVE"/>
    <s v="RXHS1001 - HSA RX Plan 1"/>
    <s v="Yes"/>
    <s v="Diseases of the blood and blood-forming organs and certain disorders involving the immune mechanism"/>
    <s v="Diseases of white blood cells"/>
    <s v="D72.820 - Lymphocytosis (symptomatic)"/>
    <s v="ELIQUIS"/>
    <s v="May 2024"/>
    <n v="2.65"/>
    <s v="Medium Risk"/>
    <n v="6756.84"/>
    <n v="4568.54"/>
    <n v="11325.38"/>
    <n v="25124.52"/>
    <n v="25124.52"/>
    <n v="17034.04"/>
    <n v="0"/>
    <n v="126"/>
    <n v="26"/>
  </r>
  <r>
    <s v="220055699-01"/>
    <x v="156"/>
    <s v="1990-12-01"/>
    <s v="Spouse"/>
    <s v="800000032 - CITY OF VANCOUVER"/>
    <s v="10034259 - VANCOUVER HOUSING AUTHORITY"/>
    <s v="0001 - VANCOUVER HOUSING AUTHORITY"/>
    <s v="0001 - ACTIVE"/>
    <s v="MHSA1001 - HSA Medical Plan 1"/>
    <s v="Yes"/>
    <s v="Pregnancy, childbirth and the puerperium"/>
    <s v="Uncomplicated pregnancy, delivery or puerperium"/>
    <s v="O28.3 - Abnormal ultrasonic finding on antenatal screening of mother"/>
    <s v="ABRYSVO"/>
    <s v="Apr 2024"/>
    <n v="0.42"/>
    <s v="Low Risk"/>
    <n v="10997.21"/>
    <n v="306.14999999999998"/>
    <n v="11303.36"/>
    <n v="30060.43"/>
    <n v="29635.43"/>
    <n v="19748.810000000001"/>
    <n v="0"/>
    <n v="42"/>
    <n v="1"/>
  </r>
  <r>
    <s v="170155853-00"/>
    <x v="157"/>
    <s v="1974-06-27"/>
    <s v="Subscriber"/>
    <s v="800000032 - CITY OF VANCOUVER"/>
    <s v="10034258 - CITY OF VANCOUVER"/>
    <s v="0001 - CITY OF VANCOUVER ACTIVE NON-UNIFORMED"/>
    <s v="0001 - ACTIVE"/>
    <s v="RXHS1001 - HSA RX Plan 1"/>
    <s v="Yes"/>
    <s v="Diseases of the nervous system"/>
    <s v="Sleep wake disorders"/>
    <s v="G47.33 - Obstructive sleep apnea (adult) (pediatric)"/>
    <s v="OZEMPIC"/>
    <s v="May 2024"/>
    <n v="1.58"/>
    <s v="Low Risk"/>
    <n v="3302.86"/>
    <n v="7992.63"/>
    <n v="11295.49"/>
    <n v="23118.61"/>
    <n v="23118.61"/>
    <n v="15618.46"/>
    <n v="0"/>
    <n v="81"/>
    <n v="19"/>
  </r>
  <r>
    <s v="230144640-00"/>
    <x v="158"/>
    <s v="1989-12-16"/>
    <s v="Subscriber"/>
    <s v="800000032 - CITY OF VANCOUVER"/>
    <s v="10034258 - CITY OF VANCOUVER"/>
    <s v="0001 - CITY OF VANCOUVER ACTIVE NON-UNIFORMED"/>
    <s v="0001 - ACTIVE"/>
    <s v="MESA1001 - ASC Custom Product 1"/>
    <s v="Yes"/>
    <s v="Mental, behavioral and neurodevelopmental disorders"/>
    <s v="Trauma- and stressor-related disorders"/>
    <s v="F43.9 - Reaction to severe stress, unspecified"/>
    <s v="VILAZODONE HYDROCHLORIDE"/>
    <s v="May 2024"/>
    <n v="2.52"/>
    <s v="Low Risk"/>
    <n v="9500.11"/>
    <n v="1775.45"/>
    <n v="11275.56"/>
    <n v="27475.439999999999"/>
    <n v="27475.439999999999"/>
    <n v="13223.62"/>
    <n v="0"/>
    <n v="125"/>
    <n v="15"/>
  </r>
  <r>
    <s v="210052382-01"/>
    <x v="159"/>
    <s v="1975-08-24"/>
    <s v="Spouse"/>
    <s v="800000032 - CITY OF VANCOUVER"/>
    <s v="10034258 - CITY OF VANCOUVER"/>
    <s v="0001 - CITY OF VANCOUVER ACTIVE NON-UNIFORMED"/>
    <s v="0001 - ACTIVE"/>
    <s v="RXES1001 - ASC Custom RX Plan 1"/>
    <s v="Yes"/>
    <s v="Factors influencing health status and contact with health services"/>
    <s v="Neoplasm-related encounters"/>
    <s v="Z12.11 - Encounter for screening for malignant neoplasm of colon"/>
    <s v="VARENICLINE TARTRATE"/>
    <s v="May 2024"/>
    <n v="3.13"/>
    <s v="Medium Risk"/>
    <n v="9568.69"/>
    <n v="1643.79"/>
    <n v="11212.48"/>
    <n v="22783.16"/>
    <n v="22783.16"/>
    <n v="13008.46"/>
    <n v="0"/>
    <n v="61"/>
    <n v="16"/>
  </r>
  <r>
    <s v="170155717-01"/>
    <x v="160"/>
    <s v="1974-08-13"/>
    <s v="Spouse"/>
    <s v="800000032 - CITY OF VANCOUVER"/>
    <s v="10034258 - CITY OF VANCOUVER"/>
    <s v="0001 - CITY OF VANCOUVER ACTIVE NON-UNIFORMED"/>
    <s v="0001 - ACTIVE"/>
    <s v="RXES1001 - ASC Custom RX Plan 1"/>
    <s v="Yes"/>
    <s v="Mental, behavioral and neurodevelopmental disorders"/>
    <s v="Anxiety and fear-related disorders"/>
    <s v="F41.1 - Generalized anxiety disorder"/>
    <s v="TRINTELLIX"/>
    <s v="May 2024"/>
    <n v="1.91"/>
    <s v="Low Risk"/>
    <n v="6610.01"/>
    <n v="4601.0200000000004"/>
    <n v="11211.03"/>
    <n v="22766.37"/>
    <n v="22766.37"/>
    <n v="12303.81"/>
    <n v="0"/>
    <n v="49"/>
    <n v="18"/>
  </r>
  <r>
    <s v="220032260-00"/>
    <x v="161"/>
    <s v="1989-08-23"/>
    <s v="Subscriber"/>
    <s v="800000032 - CITY OF VANCOUVER"/>
    <s v="10034258 - CITY OF VANCOUVER"/>
    <s v="0001 - CITY OF VANCOUVER ACTIVE NON-UNIFORMED"/>
    <s v="0001 - ACTIVE"/>
    <s v="MESA1001 - ASC Custom Product 1"/>
    <s v="Yes"/>
    <s v="Diseases of the musculoskeletal system and connective tissue"/>
    <s v="Low back pain"/>
    <s v="F41.1 - Generalized anxiety disorder"/>
    <s v="METHYLPREDNISOLONE DOSE PACK"/>
    <s v="May 2024"/>
    <n v="2.15"/>
    <s v="Low Risk"/>
    <n v="11111.3"/>
    <n v="76.150000000000006"/>
    <n v="11187.45"/>
    <n v="23420.720000000001"/>
    <n v="23420.720000000001"/>
    <n v="13130.36"/>
    <n v="0"/>
    <n v="203"/>
    <n v="14"/>
  </r>
  <r>
    <s v="170155981-01"/>
    <x v="162"/>
    <s v="2016-11-17"/>
    <s v="Dependent"/>
    <s v="800000032 - CITY OF VANCOUVER"/>
    <s v="10034258 - CITY OF VANCOUVER"/>
    <s v="0001 - CITY OF VANCOUVER ACTIVE NON-UNIFORMED"/>
    <s v="0001 - ACTIVE"/>
    <s v="RXHS1001 - HSA RX Plan 1"/>
    <s v="Yes"/>
    <s v="Diseases of the respiratory system"/>
    <s v="Asthma"/>
    <s v="J45.42 - Moderate persistent asthma with status asthmaticus"/>
    <s v="SYMBICORT"/>
    <s v="Mar 2024"/>
    <n v="0.97"/>
    <s v="Low Risk"/>
    <n v="10542.79"/>
    <n v="555.30999999999995"/>
    <n v="11098.1"/>
    <n v="26160.82"/>
    <n v="26160.82"/>
    <n v="19638.72"/>
    <n v="1"/>
    <n v="22"/>
    <n v="4"/>
  </r>
  <r>
    <s v="170155767-01"/>
    <x v="163"/>
    <s v="1971-07-12"/>
    <s v="Spouse"/>
    <s v="800000032 - CITY OF VANCOUVER"/>
    <s v="10034258 - CITY OF VANCOUVER"/>
    <s v="0005 - CITY OF VANCOUVER POLICE GUILD COMMAND"/>
    <s v="0011 - POLICE GUILD/COMMAND"/>
    <s v="RXES1001 - ASC Custom RX Plan 1"/>
    <s v="No"/>
    <s v="Symptoms, signs and abnormal clinical and laboratory findings, not elsewhere classified"/>
    <s v="Other specified diseases of veins and lymphatics"/>
    <s v="I87.8 - Other specified disorders of veins"/>
    <s v="NURTEC"/>
    <s v="Apr 2024"/>
    <m/>
    <s v="N/A"/>
    <n v="7510.58"/>
    <n v="3551.45"/>
    <n v="11062.03"/>
    <n v="15628.63"/>
    <n v="15628.63"/>
    <n v="12594.23"/>
    <n v="0"/>
    <n v="56"/>
    <n v="25"/>
  </r>
  <r>
    <s v="180153790-02"/>
    <x v="164"/>
    <s v="2003-07-20"/>
    <s v="Dependent"/>
    <s v="800000032 - CITY OF VANCOUVER"/>
    <s v="10034258 - CITY OF VANCOUVER"/>
    <s v="0001 - CITY OF VANCOUVER ACTIVE NON-UNIFORMED"/>
    <s v="0001 - ACTIVE"/>
    <s v="MESA1001 - ASC Custom Product 1"/>
    <s v="Yes"/>
    <s v="Diseases of the nervous system"/>
    <s v="Headache; including migraine"/>
    <s v="R51.9 - Headache, unspecified"/>
    <s v="TRETINOIN"/>
    <s v="Mar 2024"/>
    <n v="4.87"/>
    <s v="Medium Risk"/>
    <n v="10692.21"/>
    <n v="349.36"/>
    <n v="11041.57"/>
    <n v="102423.88"/>
    <n v="23476.080000000002"/>
    <n v="13951.31"/>
    <n v="0"/>
    <n v="47"/>
    <n v="9"/>
  </r>
  <r>
    <s v="170155659-00"/>
    <x v="165"/>
    <s v="1964-09-27"/>
    <s v="Subscriber"/>
    <s v="800000032 - CITY OF VANCOUVER"/>
    <s v="10034258 - CITY OF VANCOUVER"/>
    <s v="0001 - CITY OF VANCOUVER ACTIVE NON-UNIFORMED"/>
    <s v="0001 - ACTIVE"/>
    <s v="RXES1001 - ASC Custom RX Plan 1"/>
    <s v="Yes"/>
    <s v="Diseases of the skin and subcutaneous tissue"/>
    <s v="Other specified and unspecified skin disorders"/>
    <s v="L57.0 - Actinic keratosis"/>
    <s v="SIROLIMUS"/>
    <s v="May 2024"/>
    <n v="4.0199999999999996"/>
    <s v="Medium Risk"/>
    <n v="1626.13"/>
    <n v="9385.17"/>
    <n v="11011.3"/>
    <n v="23547.77"/>
    <n v="23547.77"/>
    <n v="11683.83"/>
    <n v="0"/>
    <n v="37"/>
    <n v="22"/>
  </r>
  <r>
    <s v="170155843-01"/>
    <x v="166"/>
    <s v="1990-10-03"/>
    <s v="Spouse"/>
    <s v="800000032 - CITY OF VANCOUVER"/>
    <s v="10034258 - CITY OF VANCOUVER"/>
    <s v="0001 - CITY OF VANCOUVER ACTIVE NON-UNIFORMED"/>
    <s v="0001 - ACTIVE"/>
    <s v="RXHS1001 - HSA RX Plan 1"/>
    <s v="Yes"/>
    <s v="Mental, behavioral and neurodevelopmental disorders"/>
    <s v="Trauma- and stressor-related disorders"/>
    <s v="F43.21 - Adjustment disorder with depressed mood"/>
    <s v="TRULICITY"/>
    <s v="May 2024"/>
    <n v="2.31"/>
    <s v="Low Risk"/>
    <n v="2338.1999999999998"/>
    <n v="8668.23"/>
    <n v="11006.43"/>
    <n v="18708.61"/>
    <n v="18708.61"/>
    <n v="13557.06"/>
    <n v="0"/>
    <n v="26"/>
    <n v="31"/>
  </r>
  <r>
    <s v="220243522-00"/>
    <x v="167"/>
    <s v="1977-10-05"/>
    <s v="Subscriber"/>
    <s v="800000032 - CITY OF VANCOUVER"/>
    <s v="10034259 - VANCOUVER HOUSING AUTHORITY"/>
    <s v="0001 - VANCOUVER HOUSING AUTHORITY"/>
    <s v="0001 - ACTIVE"/>
    <s v="MESA2001 - ASC Custom Product 2"/>
    <s v="Yes"/>
    <s v="Diseases of the nervous system"/>
    <s v="Headache; including migraine"/>
    <s v="R51.9 - Headache, unspecified"/>
    <s v="LANSOPRAZOLE"/>
    <s v="May 2024"/>
    <n v="1.39"/>
    <s v="Low Risk"/>
    <n v="10456.530000000001"/>
    <n v="527.35"/>
    <n v="10983.88"/>
    <n v="28421.52"/>
    <n v="28421.52"/>
    <n v="13244.19"/>
    <n v="0"/>
    <n v="41"/>
    <n v="12"/>
  </r>
  <r>
    <s v="170155660-00"/>
    <x v="168"/>
    <s v="1972-02-12"/>
    <s v="Subscriber"/>
    <s v="800000032 - CITY OF VANCOUVER"/>
    <s v="10034258 - CITY OF VANCOUVER"/>
    <s v="0005 - CITY OF VANCOUVER POLICE GUILD COMMAND"/>
    <s v="0011 - POLICE GUILD/COMMAND"/>
    <s v="RXES1001 - ASC Custom RX Plan 1"/>
    <s v="Yes"/>
    <s v="Diseases of the digestive system"/>
    <s v="Hemorrhoids"/>
    <s v="K64.0 - First degree hemorrhoids"/>
    <s v="ATORVASTATIN CALCIUM"/>
    <s v="May 2024"/>
    <n v="1.48"/>
    <s v="Low Risk"/>
    <n v="10740.47"/>
    <n v="209.26"/>
    <n v="10949.73"/>
    <n v="28909.45"/>
    <n v="28659.45"/>
    <n v="12435.38"/>
    <n v="0"/>
    <n v="48"/>
    <n v="12"/>
  </r>
  <r>
    <s v="170155997-01"/>
    <x v="169"/>
    <s v="1960-01-08"/>
    <s v="Spouse"/>
    <s v="800000032 - CITY OF VANCOUVER"/>
    <s v="10034259 - VANCOUVER HOUSING AUTHORITY"/>
    <s v="0001 - VANCOUVER HOUSING AUTHORITY"/>
    <s v="0001 - ACTIVE"/>
    <s v="RXES2001 - ASC Custom RX Plan 2"/>
    <s v="Yes"/>
    <s v="Diseases of the digestive system"/>
    <s v="Pancreatic disorders (excluding diabetes)"/>
    <s v="K86.89 - Other specified diseases of pancreas"/>
    <s v="TOUJEO SOLOSTAR"/>
    <s v="May 2024"/>
    <n v="2.23"/>
    <s v="Low Risk"/>
    <n v="9120.99"/>
    <n v="1780.7"/>
    <n v="10901.69"/>
    <n v="25374.05"/>
    <n v="20601.05"/>
    <n v="13153.65"/>
    <n v="0"/>
    <n v="29"/>
    <n v="32"/>
  </r>
  <r>
    <s v="170155904-01"/>
    <x v="170"/>
    <s v="2019-11-18"/>
    <s v="Dependent"/>
    <s v="800000032 - CITY OF VANCOUVER"/>
    <s v="10034258 - CITY OF VANCOUVER"/>
    <s v="0005 - CITY OF VANCOUVER POLICE GUILD COMMAND"/>
    <s v="0011 - POLICE GUILD/COMMAND"/>
    <s v="MESA1001 - ASC Custom Product 1"/>
    <s v="Yes"/>
    <s v="Diseases of the ear and mastoid process"/>
    <s v="Otitis media"/>
    <s v="H65.23 - Chronic serous otitis media, bilateral"/>
    <s v="OFLOXACIN"/>
    <s v="Apr 2024"/>
    <n v="0.4"/>
    <s v="Low Risk"/>
    <n v="10874.66"/>
    <n v="7.32"/>
    <n v="10881.98"/>
    <n v="21879.25"/>
    <n v="21879.25"/>
    <n v="13509.22"/>
    <n v="0"/>
    <n v="14"/>
    <n v="3"/>
  </r>
  <r>
    <s v="190221966-02"/>
    <x v="171"/>
    <s v="2019-08-02"/>
    <s v="Dependent"/>
    <s v="800000032 - CITY OF VANCOUVER"/>
    <s v="10034258 - CITY OF VANCOUVER"/>
    <s v="0001 - CITY OF VANCOUVER ACTIVE NON-UNIFORMED"/>
    <s v="0001 - ACTIVE"/>
    <s v="MESA1001 - ASC Custom Product 1"/>
    <s v="Yes"/>
    <s v="Mental, behavioral and neurodevelopmental disorders"/>
    <s v="Neurodevelopmental disorders"/>
    <s v="F88 - Other disorders of psychological development"/>
    <s v="FLUTICASONE PROPIONATE"/>
    <s v="May 2024"/>
    <n v="0.95"/>
    <s v="Low Risk"/>
    <n v="10749.86"/>
    <n v="75.42"/>
    <n v="10825.28"/>
    <n v="13805.08"/>
    <n v="13805.08"/>
    <n v="11179.4"/>
    <n v="0"/>
    <n v="185"/>
    <n v="8"/>
  </r>
  <r>
    <s v="230305972-00"/>
    <x v="172"/>
    <s v="1991-01-10"/>
    <s v="Subscriber"/>
    <s v="800000032 - CITY OF VANCOUVER"/>
    <s v="10034259 - VANCOUVER HOUSING AUTHORITY"/>
    <s v="0001 - VANCOUVER HOUSING AUTHORITY"/>
    <s v="0001 - ACTIVE"/>
    <s v="MESA2001 - ASC Custom Product 2"/>
    <s v="Yes"/>
    <s v="Factors influencing health status and contact with health services"/>
    <s v="Contraceptive and procreative management"/>
    <s v="Z30.2 - Encounter for sterilization"/>
    <s v="UBRELVY"/>
    <s v="May 2024"/>
    <n v="1.44"/>
    <s v="Low Risk"/>
    <n v="9852.83"/>
    <n v="955.62"/>
    <n v="10808.45"/>
    <n v="19828.54"/>
    <n v="19543.54"/>
    <n v="11592.08"/>
    <n v="0"/>
    <n v="12"/>
    <n v="2"/>
  </r>
  <r>
    <s v="240047021-00"/>
    <x v="173"/>
    <s v="1962-01-29"/>
    <s v="Subscriber"/>
    <s v="800000032 - CITY OF VANCOUVER"/>
    <s v="10034259 - VANCOUVER HOUSING AUTHORITY"/>
    <s v="0001 - VANCOUVER HOUSING AUTHORITY"/>
    <s v="0001 - ACTIVE"/>
    <s v="RXES2001 - ASC Custom RX Plan 2"/>
    <s v="Yes"/>
    <m/>
    <m/>
    <m/>
    <s v="EVEROLIMUS"/>
    <s v="May 2024"/>
    <n v="3.27"/>
    <s v="Medium Risk"/>
    <m/>
    <n v="10792.54"/>
    <n v="10792.54"/>
    <n v="13376.74"/>
    <n v="13376.74"/>
    <n v="10827.53"/>
    <m/>
    <m/>
    <n v="3"/>
  </r>
  <r>
    <s v="170155842-01"/>
    <x v="174"/>
    <s v="1968-04-05"/>
    <s v="Spouse"/>
    <s v="800000032 - CITY OF VANCOUVER"/>
    <s v="10034258 - CITY OF VANCOUVER"/>
    <s v="0001 - CITY OF VANCOUVER ACTIVE NON-UNIFORMED"/>
    <s v="0001 - ACTIVE"/>
    <s v="RXHS1001 - HSA RX Plan 1"/>
    <s v="Yes"/>
    <s v="Injury, poisoning and certain other consequences of external causes"/>
    <s v="Fracture of lower limb (except hip), subsequent encounter"/>
    <s v="S92.355D - Nondisplaced fracture of fifth metatarsal bone, left foot, subsequent encounter for fracture with routine healing"/>
    <s v="ESTRADIOL"/>
    <s v="May 2024"/>
    <n v="1.63"/>
    <s v="Low Risk"/>
    <n v="9895.93"/>
    <n v="776.12"/>
    <n v="10672.05"/>
    <n v="34680.980000000003"/>
    <n v="34625.980000000003"/>
    <n v="16277.76"/>
    <n v="0"/>
    <n v="132"/>
    <n v="10"/>
  </r>
  <r>
    <s v="230053372-03"/>
    <x v="175"/>
    <s v="2008-02-15"/>
    <s v="Dependent"/>
    <s v="800000032 - CITY OF VANCOUVER"/>
    <s v="10034258 - CITY OF VANCOUVER"/>
    <s v="0001 - CITY OF VANCOUVER ACTIVE NON-UNIFORMED"/>
    <s v="0001 - ACTIVE"/>
    <s v="MESA1001 - ASC Custom Product 1"/>
    <s v="Yes"/>
    <s v="Diseases of the musculoskeletal system and connective tissue"/>
    <s v="Musculoskeletal pain, not low back pain"/>
    <s v="M25.561 - Pain in right knee"/>
    <s v="SPIKEVAX COVID-19 VACCINE/2023-24"/>
    <s v="May 2024"/>
    <n v="2.0299999999999998"/>
    <s v="Low Risk"/>
    <n v="10470.870000000001"/>
    <n v="199.95"/>
    <n v="10670.82"/>
    <n v="23582.89"/>
    <n v="23302.89"/>
    <n v="13086.06"/>
    <n v="0"/>
    <n v="207"/>
    <n v="3"/>
  </r>
  <r>
    <s v="220068040-01"/>
    <x v="176"/>
    <s v="1975-12-01"/>
    <s v="Spouse"/>
    <s v="800000032 - CITY OF VANCOUVER"/>
    <s v="10034259 - VANCOUVER HOUSING AUTHORITY"/>
    <s v="0001 - VANCOUVER HOUSING AUTHORITY"/>
    <s v="0001 - ACTIVE"/>
    <s v="MESA2001 - ASC Custom Product 2"/>
    <s v="Yes"/>
    <s v="Injury, poisoning and certain other consequences of external causes"/>
    <s v="Fracture of the upper limb, initial encounter"/>
    <s v="S52.211A - Greenstick fracture of shaft of right ulna, initial encounter for closed fracture"/>
    <s v="HYDROCODONE BITARTRATE/ACETAMINOPHEN"/>
    <s v="Jan 2024"/>
    <n v="0.3"/>
    <s v="Low Risk"/>
    <n v="10533.83"/>
    <n v="5.92"/>
    <n v="10539.75"/>
    <n v="21821.71"/>
    <n v="21821.71"/>
    <n v="12633.73"/>
    <n v="0"/>
    <n v="25"/>
    <n v="1"/>
  </r>
  <r>
    <s v="210267366-00"/>
    <x v="177"/>
    <s v="1990-03-03"/>
    <s v="Subscriber"/>
    <s v="800000032 - CITY OF VANCOUVER"/>
    <s v="10034258 - CITY OF VANCOUVER"/>
    <s v="0001 - CITY OF VANCOUVER ACTIVE NON-UNIFORMED"/>
    <s v="0001 - ACTIVE"/>
    <s v="MESA1001 - ASC Custom Product 1"/>
    <s v="No"/>
    <s v="Diseases of the musculoskeletal system and connective tissue"/>
    <s v="Spondylopathies/spondyloarthropathy (including infective)"/>
    <s v="M54.2 - Cervicalgia"/>
    <s v="TRETINOIN"/>
    <s v="Dec 2023"/>
    <m/>
    <s v="N/A"/>
    <n v="10207.34"/>
    <n v="320.37"/>
    <n v="10527.71"/>
    <n v="24388.76"/>
    <n v="21278.76"/>
    <n v="11760.48"/>
    <n v="0"/>
    <n v="190"/>
    <n v="12"/>
  </r>
  <r>
    <s v="220150541-01"/>
    <x v="178"/>
    <s v="1988-08-30"/>
    <s v="Spouse"/>
    <s v="800000032 - CITY OF VANCOUVER"/>
    <s v="10034258 - CITY OF VANCOUVER"/>
    <s v="0001 - CITY OF VANCOUVER ACTIVE NON-UNIFORMED"/>
    <s v="0001 - ACTIVE"/>
    <s v="RXES1001 - ASC Custom RX Plan 1"/>
    <s v="No"/>
    <s v="Diseases of the nervous system"/>
    <s v="Headache; including migraine"/>
    <s v="G43.009 - Migraine without aura, not intractable, without status migrainosus"/>
    <s v="NURTEC"/>
    <s v="Oct 2023"/>
    <m/>
    <s v="N/A"/>
    <n v="248.5"/>
    <n v="10265.15"/>
    <n v="10513.65"/>
    <n v="13979.29"/>
    <n v="13979.29"/>
    <n v="10952.1"/>
    <n v="0"/>
    <n v="1"/>
    <n v="16"/>
  </r>
  <r>
    <s v="170155773-01"/>
    <x v="179"/>
    <s v="1982-08-05"/>
    <s v="Spouse"/>
    <s v="800000032 - CITY OF VANCOUVER"/>
    <s v="10034258 - CITY OF VANCOUVER"/>
    <s v="0001 - CITY OF VANCOUVER ACTIVE NON-UNIFORMED"/>
    <s v="0001 - ACTIVE"/>
    <s v="RXES1001 - ASC Custom RX Plan 1"/>
    <s v="Yes"/>
    <s v="Mental, behavioral and neurodevelopmental disorders"/>
    <s v="Depressive disorders"/>
    <s v="F33.1 - Major depressive disorder, recurrent, moderate"/>
    <s v="LAMOTRIGINE ER"/>
    <s v="May 2024"/>
    <n v="3.03"/>
    <s v="Medium Risk"/>
    <n v="6667.78"/>
    <n v="3829.39"/>
    <n v="10497.17"/>
    <n v="24012.04"/>
    <n v="24012.04"/>
    <n v="11809.27"/>
    <n v="0"/>
    <n v="55"/>
    <n v="47"/>
  </r>
  <r>
    <s v="190233697-02"/>
    <x v="180"/>
    <s v="2021-12-21"/>
    <s v="Dependent"/>
    <s v="800000032 - CITY OF VANCOUVER"/>
    <s v="10034258 - CITY OF VANCOUVER"/>
    <s v="0005 - CITY OF VANCOUVER POLICE GUILD COMMAND"/>
    <s v="0011 - POLICE GUILD/COMMAND"/>
    <s v="RXES1001 - ASC Custom RX Plan 1"/>
    <s v="Yes"/>
    <s v="Diseases of the digestive system"/>
    <s v="Abdominal hernia"/>
    <s v="K40.90 - Unilateral inguinal hernia, without obstruction or gangrene, not specified as recurrent"/>
    <s v="CEFDINIR"/>
    <s v="Mar 2024"/>
    <n v="0.28999999999999998"/>
    <s v="Low Risk"/>
    <n v="10429.459999999999"/>
    <n v="17.649999999999999"/>
    <n v="10447.11"/>
    <n v="12235.08"/>
    <n v="12235.08"/>
    <n v="11699.59"/>
    <n v="0"/>
    <n v="12"/>
    <n v="2"/>
  </r>
  <r>
    <s v="180176237-01"/>
    <x v="181"/>
    <s v="1995-09-15"/>
    <s v="Spouse"/>
    <s v="800000032 - CITY OF VANCOUVER"/>
    <s v="10034258 - CITY OF VANCOUVER"/>
    <s v="0001 - CITY OF VANCOUVER ACTIVE NON-UNIFORMED"/>
    <s v="0001 - ACTIVE"/>
    <s v="RXES1001 - ASC Custom RX Plan 1"/>
    <s v="Yes"/>
    <s v="Symptoms, signs and abnormal clinical and laboratory findings, not elsewhere classified"/>
    <s v="Musculoskeletal pain, not low back pain"/>
    <s v="M79.604 - Pain in right leg"/>
    <s v="MONO-LINYAH"/>
    <s v="May 2024"/>
    <m/>
    <s v="N/A"/>
    <n v="10150.700000000001"/>
    <n v="295.42"/>
    <n v="10446.120000000001"/>
    <n v="130026.32"/>
    <n v="115616.32000000001"/>
    <n v="51085.67"/>
    <n v="1"/>
    <n v="92"/>
    <n v="18"/>
  </r>
  <r>
    <s v="170155958-00"/>
    <x v="182"/>
    <s v="1960-06-04"/>
    <s v="Subscriber"/>
    <s v="800000032 - CITY OF VANCOUVER"/>
    <s v="10034258 - CITY OF VANCOUVER"/>
    <s v="0001 - CITY OF VANCOUVER ACTIVE NON-UNIFORMED"/>
    <s v="0001 - ACTIVE"/>
    <s v="RXES1001 - ASC Custom RX Plan 1"/>
    <s v="Yes"/>
    <s v="Diseases of the musculoskeletal system and connective tissue"/>
    <s v="Anxiety and fear-related disorders"/>
    <s v="F41.1 - Generalized anxiety disorder"/>
    <s v="AREXVY"/>
    <s v="May 2024"/>
    <n v="2.64"/>
    <s v="Medium Risk"/>
    <n v="9806.24"/>
    <n v="617.89"/>
    <n v="10424.129999999999"/>
    <n v="24817.21"/>
    <n v="24817.21"/>
    <n v="13110.34"/>
    <n v="0"/>
    <n v="142"/>
    <n v="18"/>
  </r>
  <r>
    <s v="210040089-03"/>
    <x v="183"/>
    <s v="2009-09-18"/>
    <s v="Dependent"/>
    <s v="800000032 - CITY OF VANCOUVER"/>
    <s v="10034258 - CITY OF VANCOUVER"/>
    <s v="0005 - CITY OF VANCOUVER POLICE GUILD COMMAND"/>
    <s v="0011 - POLICE GUILD/COMMAND"/>
    <s v="RXES1001 - ASC Custom RX Plan 1"/>
    <s v="Yes"/>
    <s v="Diseases of the nervous system"/>
    <s v="Epilepsy; convulsions"/>
    <s v="R56.9 - Unspecified convulsions"/>
    <s v="AMANTADINE HCL"/>
    <s v="May 2024"/>
    <n v="1.51"/>
    <s v="Low Risk"/>
    <n v="10072.85"/>
    <n v="342.74"/>
    <n v="10415.59"/>
    <n v="23225.71"/>
    <n v="23225.71"/>
    <n v="13950.26"/>
    <n v="0"/>
    <n v="34"/>
    <n v="16"/>
  </r>
  <r>
    <s v="170156016-03"/>
    <x v="184"/>
    <s v="1998-08-06"/>
    <s v="Dependent"/>
    <s v="800000032 - CITY OF VANCOUVER"/>
    <s v="10034259 - VANCOUVER HOUSING AUTHORITY"/>
    <s v="0001 - VANCOUVER HOUSING AUTHORITY"/>
    <s v="0002 - COBRA"/>
    <s v="RXES2001 - ASC Custom RX Plan 2"/>
    <s v="No"/>
    <s v="Pregnancy, childbirth and the puerperium"/>
    <s v="Nonspecific chest pain"/>
    <s v="R07.9 - Chest pain, unspecified"/>
    <s v="DOXYLAMINE SUCCINATE/PYRIDOXINE HYDROCHLORIDE"/>
    <s v="May 2024"/>
    <m/>
    <s v="N/A"/>
    <n v="8490.1"/>
    <n v="1701.53"/>
    <n v="10191.629999999999"/>
    <n v="19638.25"/>
    <n v="19638.25"/>
    <n v="11361.68"/>
    <n v="0"/>
    <n v="80"/>
    <n v="21"/>
  </r>
  <r>
    <s v="210134727-02"/>
    <x v="185"/>
    <s v="2002-12-31"/>
    <s v="Dependent"/>
    <s v="800000032 - CITY OF VANCOUVER"/>
    <s v="10034259 - VANCOUVER HOUSING AUTHORITY"/>
    <s v="0001 - VANCOUVER HOUSING AUTHORITY"/>
    <s v="0001 - ACTIVE"/>
    <s v="MESA2001 - ASC Custom Product 2"/>
    <s v="Yes"/>
    <s v="Injury, poisoning and certain other consequences of external causes"/>
    <s v="Sprains and strains, initial encounter"/>
    <s v="S83.511A - Sprain of anterior cruciate ligament of right knee, initial encounter"/>
    <s v="VARENICLINE STARTING MONTH BOX"/>
    <s v="Mar 2024"/>
    <n v="0.66"/>
    <s v="Low Risk"/>
    <n v="9642.3700000000008"/>
    <n v="415.27"/>
    <n v="10057.64"/>
    <n v="48235.34"/>
    <n v="34762.01"/>
    <n v="21223.59"/>
    <n v="0"/>
    <n v="40"/>
    <n v="7"/>
  </r>
  <r>
    <s v="220224337-00"/>
    <x v="186"/>
    <s v="1989-09-11"/>
    <s v="Subscriber"/>
    <s v="800000032 - CITY OF VANCOUVER"/>
    <s v="10034258 - CITY OF VANCOUVER"/>
    <s v="0001 - CITY OF VANCOUVER ACTIVE NON-UNIFORMED"/>
    <s v="0001 - ACTIVE"/>
    <s v="RXES1001 - ASC Custom RX Plan 1"/>
    <s v="Yes"/>
    <s v="Mental, behavioral and neurodevelopmental disorders"/>
    <s v="Anxiety and fear-related disorders"/>
    <s v="F41.1 - Generalized anxiety disorder"/>
    <s v="JOLESSA"/>
    <s v="May 2024"/>
    <n v="1.92"/>
    <s v="Low Risk"/>
    <n v="9429.77"/>
    <n v="605.33000000000004"/>
    <n v="10035.1"/>
    <n v="27940.77"/>
    <n v="27140.77"/>
    <n v="11798.18"/>
    <n v="0"/>
    <n v="143"/>
    <n v="24"/>
  </r>
  <r>
    <s v="190083863-00"/>
    <x v="187"/>
    <s v="1963-07-21"/>
    <s v="Subscriber"/>
    <s v="800000032 - CITY OF VANCOUVER"/>
    <s v="10034259 - VANCOUVER HOUSING AUTHORITY"/>
    <s v="0001 - VANCOUVER HOUSING AUTHORITY"/>
    <s v="0001 - ACTIVE"/>
    <s v="RXES2001 - ASC Custom RX Plan 2"/>
    <s v="Yes"/>
    <s v="Mental, behavioral and neurodevelopmental disorders"/>
    <s v="Trauma- and stressor-related disorders"/>
    <s v="F43.22 - Adjustment disorder with anxiety"/>
    <s v="COMIRNATY 2023-24"/>
    <s v="May 2024"/>
    <n v="2.25"/>
    <s v="Low Risk"/>
    <n v="9672.6200000000008"/>
    <n v="351.51"/>
    <n v="10024.129999999999"/>
    <n v="20649.8"/>
    <n v="20649.8"/>
    <n v="12054.18"/>
    <n v="0"/>
    <n v="62"/>
    <n v="20"/>
  </r>
  <r>
    <s v="210193819-03"/>
    <x v="188"/>
    <s v="2014-08-19"/>
    <s v="Dependent"/>
    <s v="800000032 - CITY OF VANCOUVER"/>
    <s v="10034258 - CITY OF VANCOUVER"/>
    <s v="0001 - CITY OF VANCOUVER ACTIVE NON-UNIFORMED"/>
    <s v="0001 - ACTIVE"/>
    <s v="RXES1001 - ASC Custom RX Plan 1"/>
    <s v="Yes"/>
    <s v="Mental, behavioral and neurodevelopmental disorders"/>
    <s v="Other nervous system disorders (neither hereditary nor degenerative)"/>
    <s v="G96.89 - Other specified disorders of central nervous system"/>
    <s v="METHYLPHENIDATE HYDROCHLORIDE CD"/>
    <s v="May 2024"/>
    <n v="1.58"/>
    <s v="Low Risk"/>
    <n v="8931.2800000000007"/>
    <n v="1071.0999999999999"/>
    <n v="10002.379999999999"/>
    <n v="14846.5"/>
    <n v="14646.5"/>
    <n v="12497.41"/>
    <n v="0"/>
    <n v="75"/>
    <n v="13"/>
  </r>
  <r>
    <s v="Query Totals:  194"/>
    <x v="189"/>
    <s v=""/>
    <s v=""/>
    <s v=""/>
    <s v=""/>
    <s v=""/>
    <s v=""/>
    <s v=""/>
    <s v=""/>
    <s v=""/>
    <s v=""/>
    <s v=""/>
    <s v=""/>
    <s v=""/>
    <s v="4.75"/>
    <s v=""/>
    <s v="$5,286,078.36"/>
    <s v="$3,406,535.44"/>
    <s v="$8,692,613.80"/>
    <s v="$18,570,645.73"/>
    <s v="$17,837,018.49"/>
    <s v="$9,470,957.16"/>
    <s v="49"/>
    <s v="17,257"/>
    <s v="4,504"/>
  </r>
  <r>
    <s v="Report Totals:  194"/>
    <x v="189"/>
    <s v=""/>
    <s v=""/>
    <s v=""/>
    <s v=""/>
    <s v=""/>
    <s v=""/>
    <s v=""/>
    <s v=""/>
    <s v=""/>
    <s v=""/>
    <s v=""/>
    <s v=""/>
    <s v=""/>
    <s v="4.75"/>
    <s v=""/>
    <s v="$5,286,078.36"/>
    <s v="$3,406,535.44"/>
    <s v="$8,692,613.80"/>
    <s v="$18,570,645.73"/>
    <s v="$17,837,018.49"/>
    <s v="$9,470,957.16"/>
    <s v="49"/>
    <s v="17,257"/>
    <s v="4,5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1284EA-95A1-4AC1-809E-64BD2A236ECE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94" firstHeaderRow="1" firstDataRow="1" firstDataCol="1"/>
  <pivotFields count="26">
    <pivotField showAll="0"/>
    <pivotField axis="axisRow" showAll="0" sortType="descending">
      <items count="191">
        <item x="189"/>
        <item x="13"/>
        <item x="125"/>
        <item x="119"/>
        <item x="101"/>
        <item x="23"/>
        <item x="68"/>
        <item x="114"/>
        <item x="88"/>
        <item x="118"/>
        <item x="169"/>
        <item x="45"/>
        <item x="123"/>
        <item x="38"/>
        <item x="122"/>
        <item x="44"/>
        <item x="4"/>
        <item x="54"/>
        <item x="34"/>
        <item x="138"/>
        <item x="148"/>
        <item x="0"/>
        <item x="69"/>
        <item x="52"/>
        <item x="177"/>
        <item x="137"/>
        <item x="146"/>
        <item x="144"/>
        <item x="83"/>
        <item x="183"/>
        <item x="32"/>
        <item x="99"/>
        <item x="64"/>
        <item x="36"/>
        <item x="160"/>
        <item x="73"/>
        <item x="31"/>
        <item x="95"/>
        <item x="76"/>
        <item x="185"/>
        <item x="98"/>
        <item x="134"/>
        <item x="170"/>
        <item x="66"/>
        <item x="11"/>
        <item x="161"/>
        <item x="156"/>
        <item x="14"/>
        <item x="62"/>
        <item x="97"/>
        <item x="59"/>
        <item x="116"/>
        <item x="63"/>
        <item x="6"/>
        <item x="71"/>
        <item x="141"/>
        <item x="136"/>
        <item x="56"/>
        <item x="2"/>
        <item x="43"/>
        <item x="51"/>
        <item x="80"/>
        <item x="165"/>
        <item x="18"/>
        <item x="168"/>
        <item x="135"/>
        <item x="188"/>
        <item x="20"/>
        <item x="140"/>
        <item x="150"/>
        <item x="145"/>
        <item x="82"/>
        <item x="159"/>
        <item x="15"/>
        <item x="72"/>
        <item x="110"/>
        <item x="132"/>
        <item x="84"/>
        <item x="174"/>
        <item x="12"/>
        <item x="9"/>
        <item x="166"/>
        <item x="70"/>
        <item x="100"/>
        <item x="74"/>
        <item x="17"/>
        <item x="178"/>
        <item x="111"/>
        <item x="58"/>
        <item x="22"/>
        <item x="133"/>
        <item x="131"/>
        <item x="162"/>
        <item x="184"/>
        <item x="149"/>
        <item x="19"/>
        <item x="124"/>
        <item x="147"/>
        <item x="92"/>
        <item x="42"/>
        <item x="77"/>
        <item x="151"/>
        <item x="10"/>
        <item x="33"/>
        <item x="173"/>
        <item x="157"/>
        <item x="50"/>
        <item x="67"/>
        <item x="27"/>
        <item x="26"/>
        <item x="60"/>
        <item x="53"/>
        <item x="40"/>
        <item x="105"/>
        <item x="142"/>
        <item x="93"/>
        <item x="129"/>
        <item x="158"/>
        <item x="8"/>
        <item x="109"/>
        <item x="120"/>
        <item x="35"/>
        <item x="106"/>
        <item x="25"/>
        <item x="57"/>
        <item x="143"/>
        <item x="91"/>
        <item x="85"/>
        <item x="104"/>
        <item x="49"/>
        <item x="182"/>
        <item x="39"/>
        <item x="30"/>
        <item x="139"/>
        <item x="186"/>
        <item x="7"/>
        <item x="117"/>
        <item x="78"/>
        <item x="61"/>
        <item x="180"/>
        <item x="163"/>
        <item x="87"/>
        <item x="1"/>
        <item x="90"/>
        <item x="164"/>
        <item x="48"/>
        <item x="29"/>
        <item x="130"/>
        <item x="179"/>
        <item x="79"/>
        <item x="176"/>
        <item x="107"/>
        <item x="41"/>
        <item x="75"/>
        <item x="112"/>
        <item x="128"/>
        <item x="16"/>
        <item x="37"/>
        <item x="96"/>
        <item x="102"/>
        <item x="103"/>
        <item x="55"/>
        <item x="94"/>
        <item x="155"/>
        <item x="175"/>
        <item x="3"/>
        <item x="115"/>
        <item x="153"/>
        <item x="86"/>
        <item x="28"/>
        <item x="172"/>
        <item x="81"/>
        <item x="5"/>
        <item x="126"/>
        <item x="167"/>
        <item x="113"/>
        <item x="24"/>
        <item x="171"/>
        <item x="47"/>
        <item x="187"/>
        <item x="108"/>
        <item x="181"/>
        <item x="65"/>
        <item x="154"/>
        <item x="121"/>
        <item x="127"/>
        <item x="21"/>
        <item x="152"/>
        <item x="89"/>
        <item x="4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91">
    <i>
      <x v="21"/>
    </i>
    <i>
      <x v="142"/>
    </i>
    <i>
      <x v="1"/>
    </i>
    <i>
      <x v="58"/>
    </i>
    <i>
      <x v="165"/>
    </i>
    <i>
      <x v="16"/>
    </i>
    <i>
      <x v="172"/>
    </i>
    <i>
      <x v="53"/>
    </i>
    <i>
      <x v="135"/>
    </i>
    <i>
      <x v="118"/>
    </i>
    <i>
      <x v="80"/>
    </i>
    <i>
      <x v="102"/>
    </i>
    <i>
      <x v="44"/>
    </i>
    <i>
      <x v="79"/>
    </i>
    <i>
      <x v="47"/>
    </i>
    <i>
      <x v="73"/>
    </i>
    <i>
      <x v="156"/>
    </i>
    <i>
      <x v="85"/>
    </i>
    <i>
      <x v="63"/>
    </i>
    <i>
      <x v="95"/>
    </i>
    <i>
      <x v="67"/>
    </i>
    <i>
      <x v="186"/>
    </i>
    <i>
      <x v="89"/>
    </i>
    <i>
      <x v="5"/>
    </i>
    <i>
      <x v="176"/>
    </i>
    <i>
      <x v="123"/>
    </i>
    <i>
      <x v="109"/>
    </i>
    <i>
      <x v="108"/>
    </i>
    <i>
      <x v="169"/>
    </i>
    <i>
      <x v="146"/>
    </i>
    <i>
      <x v="132"/>
    </i>
    <i>
      <x v="36"/>
    </i>
    <i>
      <x v="30"/>
    </i>
    <i>
      <x v="103"/>
    </i>
    <i>
      <x v="18"/>
    </i>
    <i>
      <x v="121"/>
    </i>
    <i>
      <x v="33"/>
    </i>
    <i>
      <x v="157"/>
    </i>
    <i>
      <x v="13"/>
    </i>
    <i>
      <x v="131"/>
    </i>
    <i>
      <x v="112"/>
    </i>
    <i>
      <x v="152"/>
    </i>
    <i>
      <x v="99"/>
    </i>
    <i>
      <x v="59"/>
    </i>
    <i>
      <x v="15"/>
    </i>
    <i>
      <x v="11"/>
    </i>
    <i>
      <x v="189"/>
    </i>
    <i>
      <x v="178"/>
    </i>
    <i>
      <x v="145"/>
    </i>
    <i>
      <x v="129"/>
    </i>
    <i>
      <x v="106"/>
    </i>
    <i>
      <x v="60"/>
    </i>
    <i>
      <x v="23"/>
    </i>
    <i>
      <x v="111"/>
    </i>
    <i>
      <x v="17"/>
    </i>
    <i>
      <x v="161"/>
    </i>
    <i>
      <x v="57"/>
    </i>
    <i>
      <x v="124"/>
    </i>
    <i>
      <x v="88"/>
    </i>
    <i>
      <x v="50"/>
    </i>
    <i>
      <x v="110"/>
    </i>
    <i>
      <x v="138"/>
    </i>
    <i>
      <x v="48"/>
    </i>
    <i>
      <x v="52"/>
    </i>
    <i>
      <x v="32"/>
    </i>
    <i>
      <x v="182"/>
    </i>
    <i>
      <x v="43"/>
    </i>
    <i>
      <x v="107"/>
    </i>
    <i>
      <x v="6"/>
    </i>
    <i>
      <x v="22"/>
    </i>
    <i>
      <x v="82"/>
    </i>
    <i>
      <x v="54"/>
    </i>
    <i>
      <x v="74"/>
    </i>
    <i>
      <x v="35"/>
    </i>
    <i>
      <x v="84"/>
    </i>
    <i>
      <x v="153"/>
    </i>
    <i>
      <x v="38"/>
    </i>
    <i>
      <x v="100"/>
    </i>
    <i>
      <x v="137"/>
    </i>
    <i>
      <x v="149"/>
    </i>
    <i>
      <x v="61"/>
    </i>
    <i>
      <x v="171"/>
    </i>
    <i>
      <x v="71"/>
    </i>
    <i>
      <x v="28"/>
    </i>
    <i>
      <x v="77"/>
    </i>
    <i>
      <x v="127"/>
    </i>
    <i>
      <x v="168"/>
    </i>
    <i>
      <x v="141"/>
    </i>
    <i>
      <x v="8"/>
    </i>
    <i>
      <x v="188"/>
    </i>
    <i>
      <x v="143"/>
    </i>
    <i>
      <x v="126"/>
    </i>
    <i>
      <x v="98"/>
    </i>
    <i>
      <x v="115"/>
    </i>
    <i>
      <x v="162"/>
    </i>
    <i>
      <x v="37"/>
    </i>
    <i>
      <x v="158"/>
    </i>
    <i>
      <x v="49"/>
    </i>
    <i>
      <x v="40"/>
    </i>
    <i>
      <x v="31"/>
    </i>
    <i>
      <x v="83"/>
    </i>
    <i>
      <x v="4"/>
    </i>
    <i>
      <x v="159"/>
    </i>
    <i>
      <x v="160"/>
    </i>
    <i>
      <x v="128"/>
    </i>
    <i>
      <x v="113"/>
    </i>
    <i>
      <x v="122"/>
    </i>
    <i>
      <x v="151"/>
    </i>
    <i>
      <x v="180"/>
    </i>
    <i>
      <x v="119"/>
    </i>
    <i>
      <x v="75"/>
    </i>
    <i>
      <x v="87"/>
    </i>
    <i>
      <x v="154"/>
    </i>
    <i>
      <x v="175"/>
    </i>
    <i>
      <x v="7"/>
    </i>
    <i>
      <x v="166"/>
    </i>
    <i>
      <x v="51"/>
    </i>
    <i>
      <x v="136"/>
    </i>
    <i>
      <x v="9"/>
    </i>
    <i>
      <x v="3"/>
    </i>
    <i>
      <x v="120"/>
    </i>
    <i>
      <x v="184"/>
    </i>
    <i>
      <x v="14"/>
    </i>
    <i>
      <x v="12"/>
    </i>
    <i>
      <x v="96"/>
    </i>
    <i>
      <x v="2"/>
    </i>
    <i>
      <x v="173"/>
    </i>
    <i>
      <x v="185"/>
    </i>
    <i>
      <x v="155"/>
    </i>
    <i>
      <x v="116"/>
    </i>
    <i>
      <x v="147"/>
    </i>
    <i>
      <x v="91"/>
    </i>
    <i>
      <x v="76"/>
    </i>
    <i>
      <x v="90"/>
    </i>
    <i>
      <x v="41"/>
    </i>
    <i>
      <x v="65"/>
    </i>
    <i>
      <x v="56"/>
    </i>
    <i>
      <x v="25"/>
    </i>
    <i>
      <x v="19"/>
    </i>
    <i>
      <x v="133"/>
    </i>
    <i>
      <x v="68"/>
    </i>
    <i>
      <x v="55"/>
    </i>
    <i>
      <x v="114"/>
    </i>
    <i>
      <x v="125"/>
    </i>
    <i>
      <x v="27"/>
    </i>
    <i>
      <x v="70"/>
    </i>
    <i>
      <x v="26"/>
    </i>
    <i>
      <x v="97"/>
    </i>
    <i>
      <x v="20"/>
    </i>
    <i>
      <x v="94"/>
    </i>
    <i>
      <x v="69"/>
    </i>
    <i>
      <x v="101"/>
    </i>
    <i>
      <x v="187"/>
    </i>
    <i>
      <x v="167"/>
    </i>
    <i>
      <x v="183"/>
    </i>
    <i>
      <x v="163"/>
    </i>
    <i>
      <x v="46"/>
    </i>
    <i>
      <x v="105"/>
    </i>
    <i>
      <x v="117"/>
    </i>
    <i>
      <x v="72"/>
    </i>
    <i>
      <x v="34"/>
    </i>
    <i>
      <x v="45"/>
    </i>
    <i>
      <x v="92"/>
    </i>
    <i>
      <x v="140"/>
    </i>
    <i>
      <x v="144"/>
    </i>
    <i>
      <x v="62"/>
    </i>
    <i>
      <x v="81"/>
    </i>
    <i>
      <x v="174"/>
    </i>
    <i>
      <x v="64"/>
    </i>
    <i>
      <x v="10"/>
    </i>
    <i>
      <x v="42"/>
    </i>
    <i>
      <x v="177"/>
    </i>
    <i>
      <x v="170"/>
    </i>
    <i>
      <x v="104"/>
    </i>
    <i>
      <x v="78"/>
    </i>
    <i>
      <x v="164"/>
    </i>
    <i>
      <x v="150"/>
    </i>
    <i>
      <x v="24"/>
    </i>
    <i>
      <x v="86"/>
    </i>
    <i>
      <x v="148"/>
    </i>
    <i>
      <x v="139"/>
    </i>
    <i>
      <x v="181"/>
    </i>
    <i>
      <x v="130"/>
    </i>
    <i>
      <x v="29"/>
    </i>
    <i>
      <x v="93"/>
    </i>
    <i>
      <x v="39"/>
    </i>
    <i>
      <x v="134"/>
    </i>
    <i>
      <x v="179"/>
    </i>
    <i>
      <x v="66"/>
    </i>
    <i>
      <x/>
    </i>
    <i t="grand">
      <x/>
    </i>
  </rowItems>
  <colItems count="1">
    <i/>
  </colItems>
  <dataFields count="1">
    <dataField name="Sum of Total Paid" fld="19" baseField="1" baseItem="0" numFmtId="168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Alera 2024">
  <a:themeElements>
    <a:clrScheme name="Alera 2024">
      <a:dk1>
        <a:srgbClr val="030406"/>
      </a:dk1>
      <a:lt1>
        <a:srgbClr val="FFFFFF"/>
      </a:lt1>
      <a:dk2>
        <a:srgbClr val="ABA299"/>
      </a:dk2>
      <a:lt2>
        <a:srgbClr val="4C4C4E"/>
      </a:lt2>
      <a:accent1>
        <a:srgbClr val="1F628D"/>
      </a:accent1>
      <a:accent2>
        <a:srgbClr val="76B243"/>
      </a:accent2>
      <a:accent3>
        <a:srgbClr val="01949F"/>
      </a:accent3>
      <a:accent4>
        <a:srgbClr val="188B75"/>
      </a:accent4>
      <a:accent5>
        <a:srgbClr val="9A7DAF"/>
      </a:accent5>
      <a:accent6>
        <a:srgbClr val="54C0AA"/>
      </a:accent6>
      <a:hlink>
        <a:srgbClr val="01949F"/>
      </a:hlink>
      <a:folHlink>
        <a:srgbClr val="01949F"/>
      </a:folHlink>
    </a:clrScheme>
    <a:fontScheme name="Alera 2024">
      <a:majorFont>
        <a:latin typeface="Garamond"/>
        <a:ea typeface=""/>
        <a:cs typeface=""/>
      </a:majorFont>
      <a:minorFont>
        <a:latin typeface="Avenir Next LT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New Alera 2023" id="{1DE5F5C1-0B8B-487A-A21E-32D2EBDF0E1E}" vid="{CDCD0D98-13F2-40FD-B04D-0BB5F9341E43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642F-6FBE-4057-BB05-894815900B57}">
  <sheetPr>
    <tabColor rgb="FFC00000"/>
  </sheetPr>
  <dimension ref="A1:Z547"/>
  <sheetViews>
    <sheetView showGridLines="0" topLeftCell="C15" zoomScale="70" zoomScaleNormal="70" zoomScaleSheetLayoutView="75" workbookViewId="0">
      <selection activeCell="G35" sqref="G35"/>
    </sheetView>
  </sheetViews>
  <sheetFormatPr defaultColWidth="10.21875" defaultRowHeight="15"/>
  <cols>
    <col min="1" max="1" width="11.33203125" style="2" hidden="1" customWidth="1"/>
    <col min="2" max="2" width="12.109375" style="2" hidden="1" customWidth="1"/>
    <col min="3" max="3" width="9.109375" style="2" customWidth="1"/>
    <col min="4" max="4" width="81.88671875" style="2" customWidth="1"/>
    <col min="5" max="5" width="33.77734375" style="2" customWidth="1"/>
    <col min="6" max="6" width="2.6640625" style="2" customWidth="1"/>
    <col min="7" max="7" width="19.109375" style="2" customWidth="1"/>
    <col min="8" max="8" width="2.33203125" style="3" customWidth="1"/>
    <col min="9" max="9" width="19.109375" style="2" customWidth="1"/>
    <col min="10" max="10" width="2.33203125" style="2" customWidth="1"/>
    <col min="11" max="11" width="20.6640625" style="2" customWidth="1"/>
    <col min="12" max="12" width="4.6640625" style="2" customWidth="1"/>
    <col min="13" max="14" width="17.77734375" style="2" customWidth="1"/>
    <col min="15" max="15" width="10.21875" style="2" customWidth="1"/>
    <col min="16" max="16" width="22.77734375" style="2" hidden="1" customWidth="1"/>
    <col min="17" max="18" width="22.33203125" style="55" hidden="1" customWidth="1"/>
    <col min="19" max="19" width="8.33203125" style="2" hidden="1" customWidth="1"/>
    <col min="20" max="20" width="34.6640625" style="2" hidden="1" customWidth="1"/>
    <col min="21" max="24" width="16.77734375" style="2" hidden="1" customWidth="1"/>
    <col min="25" max="26" width="17.33203125" style="2" hidden="1" customWidth="1"/>
    <col min="27" max="27" width="10.21875" style="2" customWidth="1"/>
    <col min="28" max="29" width="8.6640625" style="2" customWidth="1"/>
    <col min="30" max="249" width="10.21875" style="2"/>
    <col min="250" max="251" width="0" style="2" hidden="1" customWidth="1"/>
    <col min="252" max="252" width="7.6640625" style="2" customWidth="1"/>
    <col min="253" max="253" width="4.21875" style="2" customWidth="1"/>
    <col min="254" max="254" width="98" style="2" customWidth="1"/>
    <col min="255" max="255" width="16.109375" style="2" customWidth="1"/>
    <col min="256" max="256" width="1.88671875" style="2" customWidth="1"/>
    <col min="257" max="257" width="15.88671875" style="2" customWidth="1"/>
    <col min="258" max="258" width="1.88671875" style="2" customWidth="1"/>
    <col min="259" max="259" width="13.33203125" style="2" customWidth="1"/>
    <col min="260" max="260" width="1.88671875" style="2" customWidth="1"/>
    <col min="261" max="261" width="13.33203125" style="2" customWidth="1"/>
    <col min="262" max="262" width="2.33203125" style="2" customWidth="1"/>
    <col min="263" max="263" width="2.109375" style="2" customWidth="1"/>
    <col min="264" max="264" width="16.77734375" style="2" customWidth="1"/>
    <col min="265" max="265" width="13.6640625" style="2" customWidth="1"/>
    <col min="266" max="275" width="8.6640625" style="2" customWidth="1"/>
    <col min="276" max="276" width="20.77734375" style="2" customWidth="1"/>
    <col min="277" max="505" width="10.21875" style="2"/>
    <col min="506" max="507" width="0" style="2" hidden="1" customWidth="1"/>
    <col min="508" max="508" width="7.6640625" style="2" customWidth="1"/>
    <col min="509" max="509" width="4.21875" style="2" customWidth="1"/>
    <col min="510" max="510" width="98" style="2" customWidth="1"/>
    <col min="511" max="511" width="16.109375" style="2" customWidth="1"/>
    <col min="512" max="512" width="1.88671875" style="2" customWidth="1"/>
    <col min="513" max="513" width="15.88671875" style="2" customWidth="1"/>
    <col min="514" max="514" width="1.88671875" style="2" customWidth="1"/>
    <col min="515" max="515" width="13.33203125" style="2" customWidth="1"/>
    <col min="516" max="516" width="1.88671875" style="2" customWidth="1"/>
    <col min="517" max="517" width="13.33203125" style="2" customWidth="1"/>
    <col min="518" max="518" width="2.33203125" style="2" customWidth="1"/>
    <col min="519" max="519" width="2.109375" style="2" customWidth="1"/>
    <col min="520" max="520" width="16.77734375" style="2" customWidth="1"/>
    <col min="521" max="521" width="13.6640625" style="2" customWidth="1"/>
    <col min="522" max="531" width="8.6640625" style="2" customWidth="1"/>
    <col min="532" max="532" width="20.77734375" style="2" customWidth="1"/>
    <col min="533" max="761" width="10.21875" style="2"/>
    <col min="762" max="763" width="0" style="2" hidden="1" customWidth="1"/>
    <col min="764" max="764" width="7.6640625" style="2" customWidth="1"/>
    <col min="765" max="765" width="4.21875" style="2" customWidth="1"/>
    <col min="766" max="766" width="98" style="2" customWidth="1"/>
    <col min="767" max="767" width="16.109375" style="2" customWidth="1"/>
    <col min="768" max="768" width="1.88671875" style="2" customWidth="1"/>
    <col min="769" max="769" width="15.88671875" style="2" customWidth="1"/>
    <col min="770" max="770" width="1.88671875" style="2" customWidth="1"/>
    <col min="771" max="771" width="13.33203125" style="2" customWidth="1"/>
    <col min="772" max="772" width="1.88671875" style="2" customWidth="1"/>
    <col min="773" max="773" width="13.33203125" style="2" customWidth="1"/>
    <col min="774" max="774" width="2.33203125" style="2" customWidth="1"/>
    <col min="775" max="775" width="2.109375" style="2" customWidth="1"/>
    <col min="776" max="776" width="16.77734375" style="2" customWidth="1"/>
    <col min="777" max="777" width="13.6640625" style="2" customWidth="1"/>
    <col min="778" max="787" width="8.6640625" style="2" customWidth="1"/>
    <col min="788" max="788" width="20.77734375" style="2" customWidth="1"/>
    <col min="789" max="1017" width="10.21875" style="2"/>
    <col min="1018" max="1019" width="0" style="2" hidden="1" customWidth="1"/>
    <col min="1020" max="1020" width="7.6640625" style="2" customWidth="1"/>
    <col min="1021" max="1021" width="4.21875" style="2" customWidth="1"/>
    <col min="1022" max="1022" width="98" style="2" customWidth="1"/>
    <col min="1023" max="1023" width="16.109375" style="2" customWidth="1"/>
    <col min="1024" max="1024" width="1.88671875" style="2" customWidth="1"/>
    <col min="1025" max="1025" width="15.88671875" style="2" customWidth="1"/>
    <col min="1026" max="1026" width="1.88671875" style="2" customWidth="1"/>
    <col min="1027" max="1027" width="13.33203125" style="2" customWidth="1"/>
    <col min="1028" max="1028" width="1.88671875" style="2" customWidth="1"/>
    <col min="1029" max="1029" width="13.33203125" style="2" customWidth="1"/>
    <col min="1030" max="1030" width="2.33203125" style="2" customWidth="1"/>
    <col min="1031" max="1031" width="2.109375" style="2" customWidth="1"/>
    <col min="1032" max="1032" width="16.77734375" style="2" customWidth="1"/>
    <col min="1033" max="1033" width="13.6640625" style="2" customWidth="1"/>
    <col min="1034" max="1043" width="8.6640625" style="2" customWidth="1"/>
    <col min="1044" max="1044" width="20.77734375" style="2" customWidth="1"/>
    <col min="1045" max="1273" width="10.21875" style="2"/>
    <col min="1274" max="1275" width="0" style="2" hidden="1" customWidth="1"/>
    <col min="1276" max="1276" width="7.6640625" style="2" customWidth="1"/>
    <col min="1277" max="1277" width="4.21875" style="2" customWidth="1"/>
    <col min="1278" max="1278" width="98" style="2" customWidth="1"/>
    <col min="1279" max="1279" width="16.109375" style="2" customWidth="1"/>
    <col min="1280" max="1280" width="1.88671875" style="2" customWidth="1"/>
    <col min="1281" max="1281" width="15.88671875" style="2" customWidth="1"/>
    <col min="1282" max="1282" width="1.88671875" style="2" customWidth="1"/>
    <col min="1283" max="1283" width="13.33203125" style="2" customWidth="1"/>
    <col min="1284" max="1284" width="1.88671875" style="2" customWidth="1"/>
    <col min="1285" max="1285" width="13.33203125" style="2" customWidth="1"/>
    <col min="1286" max="1286" width="2.33203125" style="2" customWidth="1"/>
    <col min="1287" max="1287" width="2.109375" style="2" customWidth="1"/>
    <col min="1288" max="1288" width="16.77734375" style="2" customWidth="1"/>
    <col min="1289" max="1289" width="13.6640625" style="2" customWidth="1"/>
    <col min="1290" max="1299" width="8.6640625" style="2" customWidth="1"/>
    <col min="1300" max="1300" width="20.77734375" style="2" customWidth="1"/>
    <col min="1301" max="1529" width="10.21875" style="2"/>
    <col min="1530" max="1531" width="0" style="2" hidden="1" customWidth="1"/>
    <col min="1532" max="1532" width="7.6640625" style="2" customWidth="1"/>
    <col min="1533" max="1533" width="4.21875" style="2" customWidth="1"/>
    <col min="1534" max="1534" width="98" style="2" customWidth="1"/>
    <col min="1535" max="1535" width="16.109375" style="2" customWidth="1"/>
    <col min="1536" max="1536" width="1.88671875" style="2" customWidth="1"/>
    <col min="1537" max="1537" width="15.88671875" style="2" customWidth="1"/>
    <col min="1538" max="1538" width="1.88671875" style="2" customWidth="1"/>
    <col min="1539" max="1539" width="13.33203125" style="2" customWidth="1"/>
    <col min="1540" max="1540" width="1.88671875" style="2" customWidth="1"/>
    <col min="1541" max="1541" width="13.33203125" style="2" customWidth="1"/>
    <col min="1542" max="1542" width="2.33203125" style="2" customWidth="1"/>
    <col min="1543" max="1543" width="2.109375" style="2" customWidth="1"/>
    <col min="1544" max="1544" width="16.77734375" style="2" customWidth="1"/>
    <col min="1545" max="1545" width="13.6640625" style="2" customWidth="1"/>
    <col min="1546" max="1555" width="8.6640625" style="2" customWidth="1"/>
    <col min="1556" max="1556" width="20.77734375" style="2" customWidth="1"/>
    <col min="1557" max="1785" width="10.21875" style="2"/>
    <col min="1786" max="1787" width="0" style="2" hidden="1" customWidth="1"/>
    <col min="1788" max="1788" width="7.6640625" style="2" customWidth="1"/>
    <col min="1789" max="1789" width="4.21875" style="2" customWidth="1"/>
    <col min="1790" max="1790" width="98" style="2" customWidth="1"/>
    <col min="1791" max="1791" width="16.109375" style="2" customWidth="1"/>
    <col min="1792" max="1792" width="1.88671875" style="2" customWidth="1"/>
    <col min="1793" max="1793" width="15.88671875" style="2" customWidth="1"/>
    <col min="1794" max="1794" width="1.88671875" style="2" customWidth="1"/>
    <col min="1795" max="1795" width="13.33203125" style="2" customWidth="1"/>
    <col min="1796" max="1796" width="1.88671875" style="2" customWidth="1"/>
    <col min="1797" max="1797" width="13.33203125" style="2" customWidth="1"/>
    <col min="1798" max="1798" width="2.33203125" style="2" customWidth="1"/>
    <col min="1799" max="1799" width="2.109375" style="2" customWidth="1"/>
    <col min="1800" max="1800" width="16.77734375" style="2" customWidth="1"/>
    <col min="1801" max="1801" width="13.6640625" style="2" customWidth="1"/>
    <col min="1802" max="1811" width="8.6640625" style="2" customWidth="1"/>
    <col min="1812" max="1812" width="20.77734375" style="2" customWidth="1"/>
    <col min="1813" max="2041" width="10.21875" style="2"/>
    <col min="2042" max="2043" width="0" style="2" hidden="1" customWidth="1"/>
    <col min="2044" max="2044" width="7.6640625" style="2" customWidth="1"/>
    <col min="2045" max="2045" width="4.21875" style="2" customWidth="1"/>
    <col min="2046" max="2046" width="98" style="2" customWidth="1"/>
    <col min="2047" max="2047" width="16.109375" style="2" customWidth="1"/>
    <col min="2048" max="2048" width="1.88671875" style="2" customWidth="1"/>
    <col min="2049" max="2049" width="15.88671875" style="2" customWidth="1"/>
    <col min="2050" max="2050" width="1.88671875" style="2" customWidth="1"/>
    <col min="2051" max="2051" width="13.33203125" style="2" customWidth="1"/>
    <col min="2052" max="2052" width="1.88671875" style="2" customWidth="1"/>
    <col min="2053" max="2053" width="13.33203125" style="2" customWidth="1"/>
    <col min="2054" max="2054" width="2.33203125" style="2" customWidth="1"/>
    <col min="2055" max="2055" width="2.109375" style="2" customWidth="1"/>
    <col min="2056" max="2056" width="16.77734375" style="2" customWidth="1"/>
    <col min="2057" max="2057" width="13.6640625" style="2" customWidth="1"/>
    <col min="2058" max="2067" width="8.6640625" style="2" customWidth="1"/>
    <col min="2068" max="2068" width="20.77734375" style="2" customWidth="1"/>
    <col min="2069" max="2297" width="10.21875" style="2"/>
    <col min="2298" max="2299" width="0" style="2" hidden="1" customWidth="1"/>
    <col min="2300" max="2300" width="7.6640625" style="2" customWidth="1"/>
    <col min="2301" max="2301" width="4.21875" style="2" customWidth="1"/>
    <col min="2302" max="2302" width="98" style="2" customWidth="1"/>
    <col min="2303" max="2303" width="16.109375" style="2" customWidth="1"/>
    <col min="2304" max="2304" width="1.88671875" style="2" customWidth="1"/>
    <col min="2305" max="2305" width="15.88671875" style="2" customWidth="1"/>
    <col min="2306" max="2306" width="1.88671875" style="2" customWidth="1"/>
    <col min="2307" max="2307" width="13.33203125" style="2" customWidth="1"/>
    <col min="2308" max="2308" width="1.88671875" style="2" customWidth="1"/>
    <col min="2309" max="2309" width="13.33203125" style="2" customWidth="1"/>
    <col min="2310" max="2310" width="2.33203125" style="2" customWidth="1"/>
    <col min="2311" max="2311" width="2.109375" style="2" customWidth="1"/>
    <col min="2312" max="2312" width="16.77734375" style="2" customWidth="1"/>
    <col min="2313" max="2313" width="13.6640625" style="2" customWidth="1"/>
    <col min="2314" max="2323" width="8.6640625" style="2" customWidth="1"/>
    <col min="2324" max="2324" width="20.77734375" style="2" customWidth="1"/>
    <col min="2325" max="2553" width="10.21875" style="2"/>
    <col min="2554" max="2555" width="0" style="2" hidden="1" customWidth="1"/>
    <col min="2556" max="2556" width="7.6640625" style="2" customWidth="1"/>
    <col min="2557" max="2557" width="4.21875" style="2" customWidth="1"/>
    <col min="2558" max="2558" width="98" style="2" customWidth="1"/>
    <col min="2559" max="2559" width="16.109375" style="2" customWidth="1"/>
    <col min="2560" max="2560" width="1.88671875" style="2" customWidth="1"/>
    <col min="2561" max="2561" width="15.88671875" style="2" customWidth="1"/>
    <col min="2562" max="2562" width="1.88671875" style="2" customWidth="1"/>
    <col min="2563" max="2563" width="13.33203125" style="2" customWidth="1"/>
    <col min="2564" max="2564" width="1.88671875" style="2" customWidth="1"/>
    <col min="2565" max="2565" width="13.33203125" style="2" customWidth="1"/>
    <col min="2566" max="2566" width="2.33203125" style="2" customWidth="1"/>
    <col min="2567" max="2567" width="2.109375" style="2" customWidth="1"/>
    <col min="2568" max="2568" width="16.77734375" style="2" customWidth="1"/>
    <col min="2569" max="2569" width="13.6640625" style="2" customWidth="1"/>
    <col min="2570" max="2579" width="8.6640625" style="2" customWidth="1"/>
    <col min="2580" max="2580" width="20.77734375" style="2" customWidth="1"/>
    <col min="2581" max="2809" width="10.21875" style="2"/>
    <col min="2810" max="2811" width="0" style="2" hidden="1" customWidth="1"/>
    <col min="2812" max="2812" width="7.6640625" style="2" customWidth="1"/>
    <col min="2813" max="2813" width="4.21875" style="2" customWidth="1"/>
    <col min="2814" max="2814" width="98" style="2" customWidth="1"/>
    <col min="2815" max="2815" width="16.109375" style="2" customWidth="1"/>
    <col min="2816" max="2816" width="1.88671875" style="2" customWidth="1"/>
    <col min="2817" max="2817" width="15.88671875" style="2" customWidth="1"/>
    <col min="2818" max="2818" width="1.88671875" style="2" customWidth="1"/>
    <col min="2819" max="2819" width="13.33203125" style="2" customWidth="1"/>
    <col min="2820" max="2820" width="1.88671875" style="2" customWidth="1"/>
    <col min="2821" max="2821" width="13.33203125" style="2" customWidth="1"/>
    <col min="2822" max="2822" width="2.33203125" style="2" customWidth="1"/>
    <col min="2823" max="2823" width="2.109375" style="2" customWidth="1"/>
    <col min="2824" max="2824" width="16.77734375" style="2" customWidth="1"/>
    <col min="2825" max="2825" width="13.6640625" style="2" customWidth="1"/>
    <col min="2826" max="2835" width="8.6640625" style="2" customWidth="1"/>
    <col min="2836" max="2836" width="20.77734375" style="2" customWidth="1"/>
    <col min="2837" max="3065" width="10.21875" style="2"/>
    <col min="3066" max="3067" width="0" style="2" hidden="1" customWidth="1"/>
    <col min="3068" max="3068" width="7.6640625" style="2" customWidth="1"/>
    <col min="3069" max="3069" width="4.21875" style="2" customWidth="1"/>
    <col min="3070" max="3070" width="98" style="2" customWidth="1"/>
    <col min="3071" max="3071" width="16.109375" style="2" customWidth="1"/>
    <col min="3072" max="3072" width="1.88671875" style="2" customWidth="1"/>
    <col min="3073" max="3073" width="15.88671875" style="2" customWidth="1"/>
    <col min="3074" max="3074" width="1.88671875" style="2" customWidth="1"/>
    <col min="3075" max="3075" width="13.33203125" style="2" customWidth="1"/>
    <col min="3076" max="3076" width="1.88671875" style="2" customWidth="1"/>
    <col min="3077" max="3077" width="13.33203125" style="2" customWidth="1"/>
    <col min="3078" max="3078" width="2.33203125" style="2" customWidth="1"/>
    <col min="3079" max="3079" width="2.109375" style="2" customWidth="1"/>
    <col min="3080" max="3080" width="16.77734375" style="2" customWidth="1"/>
    <col min="3081" max="3081" width="13.6640625" style="2" customWidth="1"/>
    <col min="3082" max="3091" width="8.6640625" style="2" customWidth="1"/>
    <col min="3092" max="3092" width="20.77734375" style="2" customWidth="1"/>
    <col min="3093" max="3321" width="10.21875" style="2"/>
    <col min="3322" max="3323" width="0" style="2" hidden="1" customWidth="1"/>
    <col min="3324" max="3324" width="7.6640625" style="2" customWidth="1"/>
    <col min="3325" max="3325" width="4.21875" style="2" customWidth="1"/>
    <col min="3326" max="3326" width="98" style="2" customWidth="1"/>
    <col min="3327" max="3327" width="16.109375" style="2" customWidth="1"/>
    <col min="3328" max="3328" width="1.88671875" style="2" customWidth="1"/>
    <col min="3329" max="3329" width="15.88671875" style="2" customWidth="1"/>
    <col min="3330" max="3330" width="1.88671875" style="2" customWidth="1"/>
    <col min="3331" max="3331" width="13.33203125" style="2" customWidth="1"/>
    <col min="3332" max="3332" width="1.88671875" style="2" customWidth="1"/>
    <col min="3333" max="3333" width="13.33203125" style="2" customWidth="1"/>
    <col min="3334" max="3334" width="2.33203125" style="2" customWidth="1"/>
    <col min="3335" max="3335" width="2.109375" style="2" customWidth="1"/>
    <col min="3336" max="3336" width="16.77734375" style="2" customWidth="1"/>
    <col min="3337" max="3337" width="13.6640625" style="2" customWidth="1"/>
    <col min="3338" max="3347" width="8.6640625" style="2" customWidth="1"/>
    <col min="3348" max="3348" width="20.77734375" style="2" customWidth="1"/>
    <col min="3349" max="3577" width="10.21875" style="2"/>
    <col min="3578" max="3579" width="0" style="2" hidden="1" customWidth="1"/>
    <col min="3580" max="3580" width="7.6640625" style="2" customWidth="1"/>
    <col min="3581" max="3581" width="4.21875" style="2" customWidth="1"/>
    <col min="3582" max="3582" width="98" style="2" customWidth="1"/>
    <col min="3583" max="3583" width="16.109375" style="2" customWidth="1"/>
    <col min="3584" max="3584" width="1.88671875" style="2" customWidth="1"/>
    <col min="3585" max="3585" width="15.88671875" style="2" customWidth="1"/>
    <col min="3586" max="3586" width="1.88671875" style="2" customWidth="1"/>
    <col min="3587" max="3587" width="13.33203125" style="2" customWidth="1"/>
    <col min="3588" max="3588" width="1.88671875" style="2" customWidth="1"/>
    <col min="3589" max="3589" width="13.33203125" style="2" customWidth="1"/>
    <col min="3590" max="3590" width="2.33203125" style="2" customWidth="1"/>
    <col min="3591" max="3591" width="2.109375" style="2" customWidth="1"/>
    <col min="3592" max="3592" width="16.77734375" style="2" customWidth="1"/>
    <col min="3593" max="3593" width="13.6640625" style="2" customWidth="1"/>
    <col min="3594" max="3603" width="8.6640625" style="2" customWidth="1"/>
    <col min="3604" max="3604" width="20.77734375" style="2" customWidth="1"/>
    <col min="3605" max="3833" width="10.21875" style="2"/>
    <col min="3834" max="3835" width="0" style="2" hidden="1" customWidth="1"/>
    <col min="3836" max="3836" width="7.6640625" style="2" customWidth="1"/>
    <col min="3837" max="3837" width="4.21875" style="2" customWidth="1"/>
    <col min="3838" max="3838" width="98" style="2" customWidth="1"/>
    <col min="3839" max="3839" width="16.109375" style="2" customWidth="1"/>
    <col min="3840" max="3840" width="1.88671875" style="2" customWidth="1"/>
    <col min="3841" max="3841" width="15.88671875" style="2" customWidth="1"/>
    <col min="3842" max="3842" width="1.88671875" style="2" customWidth="1"/>
    <col min="3843" max="3843" width="13.33203125" style="2" customWidth="1"/>
    <col min="3844" max="3844" width="1.88671875" style="2" customWidth="1"/>
    <col min="3845" max="3845" width="13.33203125" style="2" customWidth="1"/>
    <col min="3846" max="3846" width="2.33203125" style="2" customWidth="1"/>
    <col min="3847" max="3847" width="2.109375" style="2" customWidth="1"/>
    <col min="3848" max="3848" width="16.77734375" style="2" customWidth="1"/>
    <col min="3849" max="3849" width="13.6640625" style="2" customWidth="1"/>
    <col min="3850" max="3859" width="8.6640625" style="2" customWidth="1"/>
    <col min="3860" max="3860" width="20.77734375" style="2" customWidth="1"/>
    <col min="3861" max="4089" width="10.21875" style="2"/>
    <col min="4090" max="4091" width="0" style="2" hidden="1" customWidth="1"/>
    <col min="4092" max="4092" width="7.6640625" style="2" customWidth="1"/>
    <col min="4093" max="4093" width="4.21875" style="2" customWidth="1"/>
    <col min="4094" max="4094" width="98" style="2" customWidth="1"/>
    <col min="4095" max="4095" width="16.109375" style="2" customWidth="1"/>
    <col min="4096" max="4096" width="1.88671875" style="2" customWidth="1"/>
    <col min="4097" max="4097" width="15.88671875" style="2" customWidth="1"/>
    <col min="4098" max="4098" width="1.88671875" style="2" customWidth="1"/>
    <col min="4099" max="4099" width="13.33203125" style="2" customWidth="1"/>
    <col min="4100" max="4100" width="1.88671875" style="2" customWidth="1"/>
    <col min="4101" max="4101" width="13.33203125" style="2" customWidth="1"/>
    <col min="4102" max="4102" width="2.33203125" style="2" customWidth="1"/>
    <col min="4103" max="4103" width="2.109375" style="2" customWidth="1"/>
    <col min="4104" max="4104" width="16.77734375" style="2" customWidth="1"/>
    <col min="4105" max="4105" width="13.6640625" style="2" customWidth="1"/>
    <col min="4106" max="4115" width="8.6640625" style="2" customWidth="1"/>
    <col min="4116" max="4116" width="20.77734375" style="2" customWidth="1"/>
    <col min="4117" max="4345" width="10.21875" style="2"/>
    <col min="4346" max="4347" width="0" style="2" hidden="1" customWidth="1"/>
    <col min="4348" max="4348" width="7.6640625" style="2" customWidth="1"/>
    <col min="4349" max="4349" width="4.21875" style="2" customWidth="1"/>
    <col min="4350" max="4350" width="98" style="2" customWidth="1"/>
    <col min="4351" max="4351" width="16.109375" style="2" customWidth="1"/>
    <col min="4352" max="4352" width="1.88671875" style="2" customWidth="1"/>
    <col min="4353" max="4353" width="15.88671875" style="2" customWidth="1"/>
    <col min="4354" max="4354" width="1.88671875" style="2" customWidth="1"/>
    <col min="4355" max="4355" width="13.33203125" style="2" customWidth="1"/>
    <col min="4356" max="4356" width="1.88671875" style="2" customWidth="1"/>
    <col min="4357" max="4357" width="13.33203125" style="2" customWidth="1"/>
    <col min="4358" max="4358" width="2.33203125" style="2" customWidth="1"/>
    <col min="4359" max="4359" width="2.109375" style="2" customWidth="1"/>
    <col min="4360" max="4360" width="16.77734375" style="2" customWidth="1"/>
    <col min="4361" max="4361" width="13.6640625" style="2" customWidth="1"/>
    <col min="4362" max="4371" width="8.6640625" style="2" customWidth="1"/>
    <col min="4372" max="4372" width="20.77734375" style="2" customWidth="1"/>
    <col min="4373" max="4601" width="10.21875" style="2"/>
    <col min="4602" max="4603" width="0" style="2" hidden="1" customWidth="1"/>
    <col min="4604" max="4604" width="7.6640625" style="2" customWidth="1"/>
    <col min="4605" max="4605" width="4.21875" style="2" customWidth="1"/>
    <col min="4606" max="4606" width="98" style="2" customWidth="1"/>
    <col min="4607" max="4607" width="16.109375" style="2" customWidth="1"/>
    <col min="4608" max="4608" width="1.88671875" style="2" customWidth="1"/>
    <col min="4609" max="4609" width="15.88671875" style="2" customWidth="1"/>
    <col min="4610" max="4610" width="1.88671875" style="2" customWidth="1"/>
    <col min="4611" max="4611" width="13.33203125" style="2" customWidth="1"/>
    <col min="4612" max="4612" width="1.88671875" style="2" customWidth="1"/>
    <col min="4613" max="4613" width="13.33203125" style="2" customWidth="1"/>
    <col min="4614" max="4614" width="2.33203125" style="2" customWidth="1"/>
    <col min="4615" max="4615" width="2.109375" style="2" customWidth="1"/>
    <col min="4616" max="4616" width="16.77734375" style="2" customWidth="1"/>
    <col min="4617" max="4617" width="13.6640625" style="2" customWidth="1"/>
    <col min="4618" max="4627" width="8.6640625" style="2" customWidth="1"/>
    <col min="4628" max="4628" width="20.77734375" style="2" customWidth="1"/>
    <col min="4629" max="4857" width="10.21875" style="2"/>
    <col min="4858" max="4859" width="0" style="2" hidden="1" customWidth="1"/>
    <col min="4860" max="4860" width="7.6640625" style="2" customWidth="1"/>
    <col min="4861" max="4861" width="4.21875" style="2" customWidth="1"/>
    <col min="4862" max="4862" width="98" style="2" customWidth="1"/>
    <col min="4863" max="4863" width="16.109375" style="2" customWidth="1"/>
    <col min="4864" max="4864" width="1.88671875" style="2" customWidth="1"/>
    <col min="4865" max="4865" width="15.88671875" style="2" customWidth="1"/>
    <col min="4866" max="4866" width="1.88671875" style="2" customWidth="1"/>
    <col min="4867" max="4867" width="13.33203125" style="2" customWidth="1"/>
    <col min="4868" max="4868" width="1.88671875" style="2" customWidth="1"/>
    <col min="4869" max="4869" width="13.33203125" style="2" customWidth="1"/>
    <col min="4870" max="4870" width="2.33203125" style="2" customWidth="1"/>
    <col min="4871" max="4871" width="2.109375" style="2" customWidth="1"/>
    <col min="4872" max="4872" width="16.77734375" style="2" customWidth="1"/>
    <col min="4873" max="4873" width="13.6640625" style="2" customWidth="1"/>
    <col min="4874" max="4883" width="8.6640625" style="2" customWidth="1"/>
    <col min="4884" max="4884" width="20.77734375" style="2" customWidth="1"/>
    <col min="4885" max="5113" width="10.21875" style="2"/>
    <col min="5114" max="5115" width="0" style="2" hidden="1" customWidth="1"/>
    <col min="5116" max="5116" width="7.6640625" style="2" customWidth="1"/>
    <col min="5117" max="5117" width="4.21875" style="2" customWidth="1"/>
    <col min="5118" max="5118" width="98" style="2" customWidth="1"/>
    <col min="5119" max="5119" width="16.109375" style="2" customWidth="1"/>
    <col min="5120" max="5120" width="1.88671875" style="2" customWidth="1"/>
    <col min="5121" max="5121" width="15.88671875" style="2" customWidth="1"/>
    <col min="5122" max="5122" width="1.88671875" style="2" customWidth="1"/>
    <col min="5123" max="5123" width="13.33203125" style="2" customWidth="1"/>
    <col min="5124" max="5124" width="1.88671875" style="2" customWidth="1"/>
    <col min="5125" max="5125" width="13.33203125" style="2" customWidth="1"/>
    <col min="5126" max="5126" width="2.33203125" style="2" customWidth="1"/>
    <col min="5127" max="5127" width="2.109375" style="2" customWidth="1"/>
    <col min="5128" max="5128" width="16.77734375" style="2" customWidth="1"/>
    <col min="5129" max="5129" width="13.6640625" style="2" customWidth="1"/>
    <col min="5130" max="5139" width="8.6640625" style="2" customWidth="1"/>
    <col min="5140" max="5140" width="20.77734375" style="2" customWidth="1"/>
    <col min="5141" max="5369" width="10.21875" style="2"/>
    <col min="5370" max="5371" width="0" style="2" hidden="1" customWidth="1"/>
    <col min="5372" max="5372" width="7.6640625" style="2" customWidth="1"/>
    <col min="5373" max="5373" width="4.21875" style="2" customWidth="1"/>
    <col min="5374" max="5374" width="98" style="2" customWidth="1"/>
    <col min="5375" max="5375" width="16.109375" style="2" customWidth="1"/>
    <col min="5376" max="5376" width="1.88671875" style="2" customWidth="1"/>
    <col min="5377" max="5377" width="15.88671875" style="2" customWidth="1"/>
    <col min="5378" max="5378" width="1.88671875" style="2" customWidth="1"/>
    <col min="5379" max="5379" width="13.33203125" style="2" customWidth="1"/>
    <col min="5380" max="5380" width="1.88671875" style="2" customWidth="1"/>
    <col min="5381" max="5381" width="13.33203125" style="2" customWidth="1"/>
    <col min="5382" max="5382" width="2.33203125" style="2" customWidth="1"/>
    <col min="5383" max="5383" width="2.109375" style="2" customWidth="1"/>
    <col min="5384" max="5384" width="16.77734375" style="2" customWidth="1"/>
    <col min="5385" max="5385" width="13.6640625" style="2" customWidth="1"/>
    <col min="5386" max="5395" width="8.6640625" style="2" customWidth="1"/>
    <col min="5396" max="5396" width="20.77734375" style="2" customWidth="1"/>
    <col min="5397" max="5625" width="10.21875" style="2"/>
    <col min="5626" max="5627" width="0" style="2" hidden="1" customWidth="1"/>
    <col min="5628" max="5628" width="7.6640625" style="2" customWidth="1"/>
    <col min="5629" max="5629" width="4.21875" style="2" customWidth="1"/>
    <col min="5630" max="5630" width="98" style="2" customWidth="1"/>
    <col min="5631" max="5631" width="16.109375" style="2" customWidth="1"/>
    <col min="5632" max="5632" width="1.88671875" style="2" customWidth="1"/>
    <col min="5633" max="5633" width="15.88671875" style="2" customWidth="1"/>
    <col min="5634" max="5634" width="1.88671875" style="2" customWidth="1"/>
    <col min="5635" max="5635" width="13.33203125" style="2" customWidth="1"/>
    <col min="5636" max="5636" width="1.88671875" style="2" customWidth="1"/>
    <col min="5637" max="5637" width="13.33203125" style="2" customWidth="1"/>
    <col min="5638" max="5638" width="2.33203125" style="2" customWidth="1"/>
    <col min="5639" max="5639" width="2.109375" style="2" customWidth="1"/>
    <col min="5640" max="5640" width="16.77734375" style="2" customWidth="1"/>
    <col min="5641" max="5641" width="13.6640625" style="2" customWidth="1"/>
    <col min="5642" max="5651" width="8.6640625" style="2" customWidth="1"/>
    <col min="5652" max="5652" width="20.77734375" style="2" customWidth="1"/>
    <col min="5653" max="5881" width="10.21875" style="2"/>
    <col min="5882" max="5883" width="0" style="2" hidden="1" customWidth="1"/>
    <col min="5884" max="5884" width="7.6640625" style="2" customWidth="1"/>
    <col min="5885" max="5885" width="4.21875" style="2" customWidth="1"/>
    <col min="5886" max="5886" width="98" style="2" customWidth="1"/>
    <col min="5887" max="5887" width="16.109375" style="2" customWidth="1"/>
    <col min="5888" max="5888" width="1.88671875" style="2" customWidth="1"/>
    <col min="5889" max="5889" width="15.88671875" style="2" customWidth="1"/>
    <col min="5890" max="5890" width="1.88671875" style="2" customWidth="1"/>
    <col min="5891" max="5891" width="13.33203125" style="2" customWidth="1"/>
    <col min="5892" max="5892" width="1.88671875" style="2" customWidth="1"/>
    <col min="5893" max="5893" width="13.33203125" style="2" customWidth="1"/>
    <col min="5894" max="5894" width="2.33203125" style="2" customWidth="1"/>
    <col min="5895" max="5895" width="2.109375" style="2" customWidth="1"/>
    <col min="5896" max="5896" width="16.77734375" style="2" customWidth="1"/>
    <col min="5897" max="5897" width="13.6640625" style="2" customWidth="1"/>
    <col min="5898" max="5907" width="8.6640625" style="2" customWidth="1"/>
    <col min="5908" max="5908" width="20.77734375" style="2" customWidth="1"/>
    <col min="5909" max="6137" width="10.21875" style="2"/>
    <col min="6138" max="6139" width="0" style="2" hidden="1" customWidth="1"/>
    <col min="6140" max="6140" width="7.6640625" style="2" customWidth="1"/>
    <col min="6141" max="6141" width="4.21875" style="2" customWidth="1"/>
    <col min="6142" max="6142" width="98" style="2" customWidth="1"/>
    <col min="6143" max="6143" width="16.109375" style="2" customWidth="1"/>
    <col min="6144" max="6144" width="1.88671875" style="2" customWidth="1"/>
    <col min="6145" max="6145" width="15.88671875" style="2" customWidth="1"/>
    <col min="6146" max="6146" width="1.88671875" style="2" customWidth="1"/>
    <col min="6147" max="6147" width="13.33203125" style="2" customWidth="1"/>
    <col min="6148" max="6148" width="1.88671875" style="2" customWidth="1"/>
    <col min="6149" max="6149" width="13.33203125" style="2" customWidth="1"/>
    <col min="6150" max="6150" width="2.33203125" style="2" customWidth="1"/>
    <col min="6151" max="6151" width="2.109375" style="2" customWidth="1"/>
    <col min="6152" max="6152" width="16.77734375" style="2" customWidth="1"/>
    <col min="6153" max="6153" width="13.6640625" style="2" customWidth="1"/>
    <col min="6154" max="6163" width="8.6640625" style="2" customWidth="1"/>
    <col min="6164" max="6164" width="20.77734375" style="2" customWidth="1"/>
    <col min="6165" max="6393" width="10.21875" style="2"/>
    <col min="6394" max="6395" width="0" style="2" hidden="1" customWidth="1"/>
    <col min="6396" max="6396" width="7.6640625" style="2" customWidth="1"/>
    <col min="6397" max="6397" width="4.21875" style="2" customWidth="1"/>
    <col min="6398" max="6398" width="98" style="2" customWidth="1"/>
    <col min="6399" max="6399" width="16.109375" style="2" customWidth="1"/>
    <col min="6400" max="6400" width="1.88671875" style="2" customWidth="1"/>
    <col min="6401" max="6401" width="15.88671875" style="2" customWidth="1"/>
    <col min="6402" max="6402" width="1.88671875" style="2" customWidth="1"/>
    <col min="6403" max="6403" width="13.33203125" style="2" customWidth="1"/>
    <col min="6404" max="6404" width="1.88671875" style="2" customWidth="1"/>
    <col min="6405" max="6405" width="13.33203125" style="2" customWidth="1"/>
    <col min="6406" max="6406" width="2.33203125" style="2" customWidth="1"/>
    <col min="6407" max="6407" width="2.109375" style="2" customWidth="1"/>
    <col min="6408" max="6408" width="16.77734375" style="2" customWidth="1"/>
    <col min="6409" max="6409" width="13.6640625" style="2" customWidth="1"/>
    <col min="6410" max="6419" width="8.6640625" style="2" customWidth="1"/>
    <col min="6420" max="6420" width="20.77734375" style="2" customWidth="1"/>
    <col min="6421" max="6649" width="10.21875" style="2"/>
    <col min="6650" max="6651" width="0" style="2" hidden="1" customWidth="1"/>
    <col min="6652" max="6652" width="7.6640625" style="2" customWidth="1"/>
    <col min="6653" max="6653" width="4.21875" style="2" customWidth="1"/>
    <col min="6654" max="6654" width="98" style="2" customWidth="1"/>
    <col min="6655" max="6655" width="16.109375" style="2" customWidth="1"/>
    <col min="6656" max="6656" width="1.88671875" style="2" customWidth="1"/>
    <col min="6657" max="6657" width="15.88671875" style="2" customWidth="1"/>
    <col min="6658" max="6658" width="1.88671875" style="2" customWidth="1"/>
    <col min="6659" max="6659" width="13.33203125" style="2" customWidth="1"/>
    <col min="6660" max="6660" width="1.88671875" style="2" customWidth="1"/>
    <col min="6661" max="6661" width="13.33203125" style="2" customWidth="1"/>
    <col min="6662" max="6662" width="2.33203125" style="2" customWidth="1"/>
    <col min="6663" max="6663" width="2.109375" style="2" customWidth="1"/>
    <col min="6664" max="6664" width="16.77734375" style="2" customWidth="1"/>
    <col min="6665" max="6665" width="13.6640625" style="2" customWidth="1"/>
    <col min="6666" max="6675" width="8.6640625" style="2" customWidth="1"/>
    <col min="6676" max="6676" width="20.77734375" style="2" customWidth="1"/>
    <col min="6677" max="6905" width="10.21875" style="2"/>
    <col min="6906" max="6907" width="0" style="2" hidden="1" customWidth="1"/>
    <col min="6908" max="6908" width="7.6640625" style="2" customWidth="1"/>
    <col min="6909" max="6909" width="4.21875" style="2" customWidth="1"/>
    <col min="6910" max="6910" width="98" style="2" customWidth="1"/>
    <col min="6911" max="6911" width="16.109375" style="2" customWidth="1"/>
    <col min="6912" max="6912" width="1.88671875" style="2" customWidth="1"/>
    <col min="6913" max="6913" width="15.88671875" style="2" customWidth="1"/>
    <col min="6914" max="6914" width="1.88671875" style="2" customWidth="1"/>
    <col min="6915" max="6915" width="13.33203125" style="2" customWidth="1"/>
    <col min="6916" max="6916" width="1.88671875" style="2" customWidth="1"/>
    <col min="6917" max="6917" width="13.33203125" style="2" customWidth="1"/>
    <col min="6918" max="6918" width="2.33203125" style="2" customWidth="1"/>
    <col min="6919" max="6919" width="2.109375" style="2" customWidth="1"/>
    <col min="6920" max="6920" width="16.77734375" style="2" customWidth="1"/>
    <col min="6921" max="6921" width="13.6640625" style="2" customWidth="1"/>
    <col min="6922" max="6931" width="8.6640625" style="2" customWidth="1"/>
    <col min="6932" max="6932" width="20.77734375" style="2" customWidth="1"/>
    <col min="6933" max="7161" width="10.21875" style="2"/>
    <col min="7162" max="7163" width="0" style="2" hidden="1" customWidth="1"/>
    <col min="7164" max="7164" width="7.6640625" style="2" customWidth="1"/>
    <col min="7165" max="7165" width="4.21875" style="2" customWidth="1"/>
    <col min="7166" max="7166" width="98" style="2" customWidth="1"/>
    <col min="7167" max="7167" width="16.109375" style="2" customWidth="1"/>
    <col min="7168" max="7168" width="1.88671875" style="2" customWidth="1"/>
    <col min="7169" max="7169" width="15.88671875" style="2" customWidth="1"/>
    <col min="7170" max="7170" width="1.88671875" style="2" customWidth="1"/>
    <col min="7171" max="7171" width="13.33203125" style="2" customWidth="1"/>
    <col min="7172" max="7172" width="1.88671875" style="2" customWidth="1"/>
    <col min="7173" max="7173" width="13.33203125" style="2" customWidth="1"/>
    <col min="7174" max="7174" width="2.33203125" style="2" customWidth="1"/>
    <col min="7175" max="7175" width="2.109375" style="2" customWidth="1"/>
    <col min="7176" max="7176" width="16.77734375" style="2" customWidth="1"/>
    <col min="7177" max="7177" width="13.6640625" style="2" customWidth="1"/>
    <col min="7178" max="7187" width="8.6640625" style="2" customWidth="1"/>
    <col min="7188" max="7188" width="20.77734375" style="2" customWidth="1"/>
    <col min="7189" max="7417" width="10.21875" style="2"/>
    <col min="7418" max="7419" width="0" style="2" hidden="1" customWidth="1"/>
    <col min="7420" max="7420" width="7.6640625" style="2" customWidth="1"/>
    <col min="7421" max="7421" width="4.21875" style="2" customWidth="1"/>
    <col min="7422" max="7422" width="98" style="2" customWidth="1"/>
    <col min="7423" max="7423" width="16.109375" style="2" customWidth="1"/>
    <col min="7424" max="7424" width="1.88671875" style="2" customWidth="1"/>
    <col min="7425" max="7425" width="15.88671875" style="2" customWidth="1"/>
    <col min="7426" max="7426" width="1.88671875" style="2" customWidth="1"/>
    <col min="7427" max="7427" width="13.33203125" style="2" customWidth="1"/>
    <col min="7428" max="7428" width="1.88671875" style="2" customWidth="1"/>
    <col min="7429" max="7429" width="13.33203125" style="2" customWidth="1"/>
    <col min="7430" max="7430" width="2.33203125" style="2" customWidth="1"/>
    <col min="7431" max="7431" width="2.109375" style="2" customWidth="1"/>
    <col min="7432" max="7432" width="16.77734375" style="2" customWidth="1"/>
    <col min="7433" max="7433" width="13.6640625" style="2" customWidth="1"/>
    <col min="7434" max="7443" width="8.6640625" style="2" customWidth="1"/>
    <col min="7444" max="7444" width="20.77734375" style="2" customWidth="1"/>
    <col min="7445" max="7673" width="10.21875" style="2"/>
    <col min="7674" max="7675" width="0" style="2" hidden="1" customWidth="1"/>
    <col min="7676" max="7676" width="7.6640625" style="2" customWidth="1"/>
    <col min="7677" max="7677" width="4.21875" style="2" customWidth="1"/>
    <col min="7678" max="7678" width="98" style="2" customWidth="1"/>
    <col min="7679" max="7679" width="16.109375" style="2" customWidth="1"/>
    <col min="7680" max="7680" width="1.88671875" style="2" customWidth="1"/>
    <col min="7681" max="7681" width="15.88671875" style="2" customWidth="1"/>
    <col min="7682" max="7682" width="1.88671875" style="2" customWidth="1"/>
    <col min="7683" max="7683" width="13.33203125" style="2" customWidth="1"/>
    <col min="7684" max="7684" width="1.88671875" style="2" customWidth="1"/>
    <col min="7685" max="7685" width="13.33203125" style="2" customWidth="1"/>
    <col min="7686" max="7686" width="2.33203125" style="2" customWidth="1"/>
    <col min="7687" max="7687" width="2.109375" style="2" customWidth="1"/>
    <col min="7688" max="7688" width="16.77734375" style="2" customWidth="1"/>
    <col min="7689" max="7689" width="13.6640625" style="2" customWidth="1"/>
    <col min="7690" max="7699" width="8.6640625" style="2" customWidth="1"/>
    <col min="7700" max="7700" width="20.77734375" style="2" customWidth="1"/>
    <col min="7701" max="7929" width="10.21875" style="2"/>
    <col min="7930" max="7931" width="0" style="2" hidden="1" customWidth="1"/>
    <col min="7932" max="7932" width="7.6640625" style="2" customWidth="1"/>
    <col min="7933" max="7933" width="4.21875" style="2" customWidth="1"/>
    <col min="7934" max="7934" width="98" style="2" customWidth="1"/>
    <col min="7935" max="7935" width="16.109375" style="2" customWidth="1"/>
    <col min="7936" max="7936" width="1.88671875" style="2" customWidth="1"/>
    <col min="7937" max="7937" width="15.88671875" style="2" customWidth="1"/>
    <col min="7938" max="7938" width="1.88671875" style="2" customWidth="1"/>
    <col min="7939" max="7939" width="13.33203125" style="2" customWidth="1"/>
    <col min="7940" max="7940" width="1.88671875" style="2" customWidth="1"/>
    <col min="7941" max="7941" width="13.33203125" style="2" customWidth="1"/>
    <col min="7942" max="7942" width="2.33203125" style="2" customWidth="1"/>
    <col min="7943" max="7943" width="2.109375" style="2" customWidth="1"/>
    <col min="7944" max="7944" width="16.77734375" style="2" customWidth="1"/>
    <col min="7945" max="7945" width="13.6640625" style="2" customWidth="1"/>
    <col min="7946" max="7955" width="8.6640625" style="2" customWidth="1"/>
    <col min="7956" max="7956" width="20.77734375" style="2" customWidth="1"/>
    <col min="7957" max="8185" width="10.21875" style="2"/>
    <col min="8186" max="8187" width="0" style="2" hidden="1" customWidth="1"/>
    <col min="8188" max="8188" width="7.6640625" style="2" customWidth="1"/>
    <col min="8189" max="8189" width="4.21875" style="2" customWidth="1"/>
    <col min="8190" max="8190" width="98" style="2" customWidth="1"/>
    <col min="8191" max="8191" width="16.109375" style="2" customWidth="1"/>
    <col min="8192" max="8192" width="1.88671875" style="2" customWidth="1"/>
    <col min="8193" max="8193" width="15.88671875" style="2" customWidth="1"/>
    <col min="8194" max="8194" width="1.88671875" style="2" customWidth="1"/>
    <col min="8195" max="8195" width="13.33203125" style="2" customWidth="1"/>
    <col min="8196" max="8196" width="1.88671875" style="2" customWidth="1"/>
    <col min="8197" max="8197" width="13.33203125" style="2" customWidth="1"/>
    <col min="8198" max="8198" width="2.33203125" style="2" customWidth="1"/>
    <col min="8199" max="8199" width="2.109375" style="2" customWidth="1"/>
    <col min="8200" max="8200" width="16.77734375" style="2" customWidth="1"/>
    <col min="8201" max="8201" width="13.6640625" style="2" customWidth="1"/>
    <col min="8202" max="8211" width="8.6640625" style="2" customWidth="1"/>
    <col min="8212" max="8212" width="20.77734375" style="2" customWidth="1"/>
    <col min="8213" max="8441" width="10.21875" style="2"/>
    <col min="8442" max="8443" width="0" style="2" hidden="1" customWidth="1"/>
    <col min="8444" max="8444" width="7.6640625" style="2" customWidth="1"/>
    <col min="8445" max="8445" width="4.21875" style="2" customWidth="1"/>
    <col min="8446" max="8446" width="98" style="2" customWidth="1"/>
    <col min="8447" max="8447" width="16.109375" style="2" customWidth="1"/>
    <col min="8448" max="8448" width="1.88671875" style="2" customWidth="1"/>
    <col min="8449" max="8449" width="15.88671875" style="2" customWidth="1"/>
    <col min="8450" max="8450" width="1.88671875" style="2" customWidth="1"/>
    <col min="8451" max="8451" width="13.33203125" style="2" customWidth="1"/>
    <col min="8452" max="8452" width="1.88671875" style="2" customWidth="1"/>
    <col min="8453" max="8453" width="13.33203125" style="2" customWidth="1"/>
    <col min="8454" max="8454" width="2.33203125" style="2" customWidth="1"/>
    <col min="8455" max="8455" width="2.109375" style="2" customWidth="1"/>
    <col min="8456" max="8456" width="16.77734375" style="2" customWidth="1"/>
    <col min="8457" max="8457" width="13.6640625" style="2" customWidth="1"/>
    <col min="8458" max="8467" width="8.6640625" style="2" customWidth="1"/>
    <col min="8468" max="8468" width="20.77734375" style="2" customWidth="1"/>
    <col min="8469" max="8697" width="10.21875" style="2"/>
    <col min="8698" max="8699" width="0" style="2" hidden="1" customWidth="1"/>
    <col min="8700" max="8700" width="7.6640625" style="2" customWidth="1"/>
    <col min="8701" max="8701" width="4.21875" style="2" customWidth="1"/>
    <col min="8702" max="8702" width="98" style="2" customWidth="1"/>
    <col min="8703" max="8703" width="16.109375" style="2" customWidth="1"/>
    <col min="8704" max="8704" width="1.88671875" style="2" customWidth="1"/>
    <col min="8705" max="8705" width="15.88671875" style="2" customWidth="1"/>
    <col min="8706" max="8706" width="1.88671875" style="2" customWidth="1"/>
    <col min="8707" max="8707" width="13.33203125" style="2" customWidth="1"/>
    <col min="8708" max="8708" width="1.88671875" style="2" customWidth="1"/>
    <col min="8709" max="8709" width="13.33203125" style="2" customWidth="1"/>
    <col min="8710" max="8710" width="2.33203125" style="2" customWidth="1"/>
    <col min="8711" max="8711" width="2.109375" style="2" customWidth="1"/>
    <col min="8712" max="8712" width="16.77734375" style="2" customWidth="1"/>
    <col min="8713" max="8713" width="13.6640625" style="2" customWidth="1"/>
    <col min="8714" max="8723" width="8.6640625" style="2" customWidth="1"/>
    <col min="8724" max="8724" width="20.77734375" style="2" customWidth="1"/>
    <col min="8725" max="8953" width="10.21875" style="2"/>
    <col min="8954" max="8955" width="0" style="2" hidden="1" customWidth="1"/>
    <col min="8956" max="8956" width="7.6640625" style="2" customWidth="1"/>
    <col min="8957" max="8957" width="4.21875" style="2" customWidth="1"/>
    <col min="8958" max="8958" width="98" style="2" customWidth="1"/>
    <col min="8959" max="8959" width="16.109375" style="2" customWidth="1"/>
    <col min="8960" max="8960" width="1.88671875" style="2" customWidth="1"/>
    <col min="8961" max="8961" width="15.88671875" style="2" customWidth="1"/>
    <col min="8962" max="8962" width="1.88671875" style="2" customWidth="1"/>
    <col min="8963" max="8963" width="13.33203125" style="2" customWidth="1"/>
    <col min="8964" max="8964" width="1.88671875" style="2" customWidth="1"/>
    <col min="8965" max="8965" width="13.33203125" style="2" customWidth="1"/>
    <col min="8966" max="8966" width="2.33203125" style="2" customWidth="1"/>
    <col min="8967" max="8967" width="2.109375" style="2" customWidth="1"/>
    <col min="8968" max="8968" width="16.77734375" style="2" customWidth="1"/>
    <col min="8969" max="8969" width="13.6640625" style="2" customWidth="1"/>
    <col min="8970" max="8979" width="8.6640625" style="2" customWidth="1"/>
    <col min="8980" max="8980" width="20.77734375" style="2" customWidth="1"/>
    <col min="8981" max="9209" width="10.21875" style="2"/>
    <col min="9210" max="9211" width="0" style="2" hidden="1" customWidth="1"/>
    <col min="9212" max="9212" width="7.6640625" style="2" customWidth="1"/>
    <col min="9213" max="9213" width="4.21875" style="2" customWidth="1"/>
    <col min="9214" max="9214" width="98" style="2" customWidth="1"/>
    <col min="9215" max="9215" width="16.109375" style="2" customWidth="1"/>
    <col min="9216" max="9216" width="1.88671875" style="2" customWidth="1"/>
    <col min="9217" max="9217" width="15.88671875" style="2" customWidth="1"/>
    <col min="9218" max="9218" width="1.88671875" style="2" customWidth="1"/>
    <col min="9219" max="9219" width="13.33203125" style="2" customWidth="1"/>
    <col min="9220" max="9220" width="1.88671875" style="2" customWidth="1"/>
    <col min="9221" max="9221" width="13.33203125" style="2" customWidth="1"/>
    <col min="9222" max="9222" width="2.33203125" style="2" customWidth="1"/>
    <col min="9223" max="9223" width="2.109375" style="2" customWidth="1"/>
    <col min="9224" max="9224" width="16.77734375" style="2" customWidth="1"/>
    <col min="9225" max="9225" width="13.6640625" style="2" customWidth="1"/>
    <col min="9226" max="9235" width="8.6640625" style="2" customWidth="1"/>
    <col min="9236" max="9236" width="20.77734375" style="2" customWidth="1"/>
    <col min="9237" max="9465" width="10.21875" style="2"/>
    <col min="9466" max="9467" width="0" style="2" hidden="1" customWidth="1"/>
    <col min="9468" max="9468" width="7.6640625" style="2" customWidth="1"/>
    <col min="9469" max="9469" width="4.21875" style="2" customWidth="1"/>
    <col min="9470" max="9470" width="98" style="2" customWidth="1"/>
    <col min="9471" max="9471" width="16.109375" style="2" customWidth="1"/>
    <col min="9472" max="9472" width="1.88671875" style="2" customWidth="1"/>
    <col min="9473" max="9473" width="15.88671875" style="2" customWidth="1"/>
    <col min="9474" max="9474" width="1.88671875" style="2" customWidth="1"/>
    <col min="9475" max="9475" width="13.33203125" style="2" customWidth="1"/>
    <col min="9476" max="9476" width="1.88671875" style="2" customWidth="1"/>
    <col min="9477" max="9477" width="13.33203125" style="2" customWidth="1"/>
    <col min="9478" max="9478" width="2.33203125" style="2" customWidth="1"/>
    <col min="9479" max="9479" width="2.109375" style="2" customWidth="1"/>
    <col min="9480" max="9480" width="16.77734375" style="2" customWidth="1"/>
    <col min="9481" max="9481" width="13.6640625" style="2" customWidth="1"/>
    <col min="9482" max="9491" width="8.6640625" style="2" customWidth="1"/>
    <col min="9492" max="9492" width="20.77734375" style="2" customWidth="1"/>
    <col min="9493" max="9721" width="10.21875" style="2"/>
    <col min="9722" max="9723" width="0" style="2" hidden="1" customWidth="1"/>
    <col min="9724" max="9724" width="7.6640625" style="2" customWidth="1"/>
    <col min="9725" max="9725" width="4.21875" style="2" customWidth="1"/>
    <col min="9726" max="9726" width="98" style="2" customWidth="1"/>
    <col min="9727" max="9727" width="16.109375" style="2" customWidth="1"/>
    <col min="9728" max="9728" width="1.88671875" style="2" customWidth="1"/>
    <col min="9729" max="9729" width="15.88671875" style="2" customWidth="1"/>
    <col min="9730" max="9730" width="1.88671875" style="2" customWidth="1"/>
    <col min="9731" max="9731" width="13.33203125" style="2" customWidth="1"/>
    <col min="9732" max="9732" width="1.88671875" style="2" customWidth="1"/>
    <col min="9733" max="9733" width="13.33203125" style="2" customWidth="1"/>
    <col min="9734" max="9734" width="2.33203125" style="2" customWidth="1"/>
    <col min="9735" max="9735" width="2.109375" style="2" customWidth="1"/>
    <col min="9736" max="9736" width="16.77734375" style="2" customWidth="1"/>
    <col min="9737" max="9737" width="13.6640625" style="2" customWidth="1"/>
    <col min="9738" max="9747" width="8.6640625" style="2" customWidth="1"/>
    <col min="9748" max="9748" width="20.77734375" style="2" customWidth="1"/>
    <col min="9749" max="9977" width="10.21875" style="2"/>
    <col min="9978" max="9979" width="0" style="2" hidden="1" customWidth="1"/>
    <col min="9980" max="9980" width="7.6640625" style="2" customWidth="1"/>
    <col min="9981" max="9981" width="4.21875" style="2" customWidth="1"/>
    <col min="9982" max="9982" width="98" style="2" customWidth="1"/>
    <col min="9983" max="9983" width="16.109375" style="2" customWidth="1"/>
    <col min="9984" max="9984" width="1.88671875" style="2" customWidth="1"/>
    <col min="9985" max="9985" width="15.88671875" style="2" customWidth="1"/>
    <col min="9986" max="9986" width="1.88671875" style="2" customWidth="1"/>
    <col min="9987" max="9987" width="13.33203125" style="2" customWidth="1"/>
    <col min="9988" max="9988" width="1.88671875" style="2" customWidth="1"/>
    <col min="9989" max="9989" width="13.33203125" style="2" customWidth="1"/>
    <col min="9990" max="9990" width="2.33203125" style="2" customWidth="1"/>
    <col min="9991" max="9991" width="2.109375" style="2" customWidth="1"/>
    <col min="9992" max="9992" width="16.77734375" style="2" customWidth="1"/>
    <col min="9993" max="9993" width="13.6640625" style="2" customWidth="1"/>
    <col min="9994" max="10003" width="8.6640625" style="2" customWidth="1"/>
    <col min="10004" max="10004" width="20.77734375" style="2" customWidth="1"/>
    <col min="10005" max="10233" width="10.21875" style="2"/>
    <col min="10234" max="10235" width="0" style="2" hidden="1" customWidth="1"/>
    <col min="10236" max="10236" width="7.6640625" style="2" customWidth="1"/>
    <col min="10237" max="10237" width="4.21875" style="2" customWidth="1"/>
    <col min="10238" max="10238" width="98" style="2" customWidth="1"/>
    <col min="10239" max="10239" width="16.109375" style="2" customWidth="1"/>
    <col min="10240" max="10240" width="1.88671875" style="2" customWidth="1"/>
    <col min="10241" max="10241" width="15.88671875" style="2" customWidth="1"/>
    <col min="10242" max="10242" width="1.88671875" style="2" customWidth="1"/>
    <col min="10243" max="10243" width="13.33203125" style="2" customWidth="1"/>
    <col min="10244" max="10244" width="1.88671875" style="2" customWidth="1"/>
    <col min="10245" max="10245" width="13.33203125" style="2" customWidth="1"/>
    <col min="10246" max="10246" width="2.33203125" style="2" customWidth="1"/>
    <col min="10247" max="10247" width="2.109375" style="2" customWidth="1"/>
    <col min="10248" max="10248" width="16.77734375" style="2" customWidth="1"/>
    <col min="10249" max="10249" width="13.6640625" style="2" customWidth="1"/>
    <col min="10250" max="10259" width="8.6640625" style="2" customWidth="1"/>
    <col min="10260" max="10260" width="20.77734375" style="2" customWidth="1"/>
    <col min="10261" max="10489" width="10.21875" style="2"/>
    <col min="10490" max="10491" width="0" style="2" hidden="1" customWidth="1"/>
    <col min="10492" max="10492" width="7.6640625" style="2" customWidth="1"/>
    <col min="10493" max="10493" width="4.21875" style="2" customWidth="1"/>
    <col min="10494" max="10494" width="98" style="2" customWidth="1"/>
    <col min="10495" max="10495" width="16.109375" style="2" customWidth="1"/>
    <col min="10496" max="10496" width="1.88671875" style="2" customWidth="1"/>
    <col min="10497" max="10497" width="15.88671875" style="2" customWidth="1"/>
    <col min="10498" max="10498" width="1.88671875" style="2" customWidth="1"/>
    <col min="10499" max="10499" width="13.33203125" style="2" customWidth="1"/>
    <col min="10500" max="10500" width="1.88671875" style="2" customWidth="1"/>
    <col min="10501" max="10501" width="13.33203125" style="2" customWidth="1"/>
    <col min="10502" max="10502" width="2.33203125" style="2" customWidth="1"/>
    <col min="10503" max="10503" width="2.109375" style="2" customWidth="1"/>
    <col min="10504" max="10504" width="16.77734375" style="2" customWidth="1"/>
    <col min="10505" max="10505" width="13.6640625" style="2" customWidth="1"/>
    <col min="10506" max="10515" width="8.6640625" style="2" customWidth="1"/>
    <col min="10516" max="10516" width="20.77734375" style="2" customWidth="1"/>
    <col min="10517" max="10745" width="10.21875" style="2"/>
    <col min="10746" max="10747" width="0" style="2" hidden="1" customWidth="1"/>
    <col min="10748" max="10748" width="7.6640625" style="2" customWidth="1"/>
    <col min="10749" max="10749" width="4.21875" style="2" customWidth="1"/>
    <col min="10750" max="10750" width="98" style="2" customWidth="1"/>
    <col min="10751" max="10751" width="16.109375" style="2" customWidth="1"/>
    <col min="10752" max="10752" width="1.88671875" style="2" customWidth="1"/>
    <col min="10753" max="10753" width="15.88671875" style="2" customWidth="1"/>
    <col min="10754" max="10754" width="1.88671875" style="2" customWidth="1"/>
    <col min="10755" max="10755" width="13.33203125" style="2" customWidth="1"/>
    <col min="10756" max="10756" width="1.88671875" style="2" customWidth="1"/>
    <col min="10757" max="10757" width="13.33203125" style="2" customWidth="1"/>
    <col min="10758" max="10758" width="2.33203125" style="2" customWidth="1"/>
    <col min="10759" max="10759" width="2.109375" style="2" customWidth="1"/>
    <col min="10760" max="10760" width="16.77734375" style="2" customWidth="1"/>
    <col min="10761" max="10761" width="13.6640625" style="2" customWidth="1"/>
    <col min="10762" max="10771" width="8.6640625" style="2" customWidth="1"/>
    <col min="10772" max="10772" width="20.77734375" style="2" customWidth="1"/>
    <col min="10773" max="11001" width="10.21875" style="2"/>
    <col min="11002" max="11003" width="0" style="2" hidden="1" customWidth="1"/>
    <col min="11004" max="11004" width="7.6640625" style="2" customWidth="1"/>
    <col min="11005" max="11005" width="4.21875" style="2" customWidth="1"/>
    <col min="11006" max="11006" width="98" style="2" customWidth="1"/>
    <col min="11007" max="11007" width="16.109375" style="2" customWidth="1"/>
    <col min="11008" max="11008" width="1.88671875" style="2" customWidth="1"/>
    <col min="11009" max="11009" width="15.88671875" style="2" customWidth="1"/>
    <col min="11010" max="11010" width="1.88671875" style="2" customWidth="1"/>
    <col min="11011" max="11011" width="13.33203125" style="2" customWidth="1"/>
    <col min="11012" max="11012" width="1.88671875" style="2" customWidth="1"/>
    <col min="11013" max="11013" width="13.33203125" style="2" customWidth="1"/>
    <col min="11014" max="11014" width="2.33203125" style="2" customWidth="1"/>
    <col min="11015" max="11015" width="2.109375" style="2" customWidth="1"/>
    <col min="11016" max="11016" width="16.77734375" style="2" customWidth="1"/>
    <col min="11017" max="11017" width="13.6640625" style="2" customWidth="1"/>
    <col min="11018" max="11027" width="8.6640625" style="2" customWidth="1"/>
    <col min="11028" max="11028" width="20.77734375" style="2" customWidth="1"/>
    <col min="11029" max="11257" width="10.21875" style="2"/>
    <col min="11258" max="11259" width="0" style="2" hidden="1" customWidth="1"/>
    <col min="11260" max="11260" width="7.6640625" style="2" customWidth="1"/>
    <col min="11261" max="11261" width="4.21875" style="2" customWidth="1"/>
    <col min="11262" max="11262" width="98" style="2" customWidth="1"/>
    <col min="11263" max="11263" width="16.109375" style="2" customWidth="1"/>
    <col min="11264" max="11264" width="1.88671875" style="2" customWidth="1"/>
    <col min="11265" max="11265" width="15.88671875" style="2" customWidth="1"/>
    <col min="11266" max="11266" width="1.88671875" style="2" customWidth="1"/>
    <col min="11267" max="11267" width="13.33203125" style="2" customWidth="1"/>
    <col min="11268" max="11268" width="1.88671875" style="2" customWidth="1"/>
    <col min="11269" max="11269" width="13.33203125" style="2" customWidth="1"/>
    <col min="11270" max="11270" width="2.33203125" style="2" customWidth="1"/>
    <col min="11271" max="11271" width="2.109375" style="2" customWidth="1"/>
    <col min="11272" max="11272" width="16.77734375" style="2" customWidth="1"/>
    <col min="11273" max="11273" width="13.6640625" style="2" customWidth="1"/>
    <col min="11274" max="11283" width="8.6640625" style="2" customWidth="1"/>
    <col min="11284" max="11284" width="20.77734375" style="2" customWidth="1"/>
    <col min="11285" max="11513" width="10.21875" style="2"/>
    <col min="11514" max="11515" width="0" style="2" hidden="1" customWidth="1"/>
    <col min="11516" max="11516" width="7.6640625" style="2" customWidth="1"/>
    <col min="11517" max="11517" width="4.21875" style="2" customWidth="1"/>
    <col min="11518" max="11518" width="98" style="2" customWidth="1"/>
    <col min="11519" max="11519" width="16.109375" style="2" customWidth="1"/>
    <col min="11520" max="11520" width="1.88671875" style="2" customWidth="1"/>
    <col min="11521" max="11521" width="15.88671875" style="2" customWidth="1"/>
    <col min="11522" max="11522" width="1.88671875" style="2" customWidth="1"/>
    <col min="11523" max="11523" width="13.33203125" style="2" customWidth="1"/>
    <col min="11524" max="11524" width="1.88671875" style="2" customWidth="1"/>
    <col min="11525" max="11525" width="13.33203125" style="2" customWidth="1"/>
    <col min="11526" max="11526" width="2.33203125" style="2" customWidth="1"/>
    <col min="11527" max="11527" width="2.109375" style="2" customWidth="1"/>
    <col min="11528" max="11528" width="16.77734375" style="2" customWidth="1"/>
    <col min="11529" max="11529" width="13.6640625" style="2" customWidth="1"/>
    <col min="11530" max="11539" width="8.6640625" style="2" customWidth="1"/>
    <col min="11540" max="11540" width="20.77734375" style="2" customWidth="1"/>
    <col min="11541" max="11769" width="10.21875" style="2"/>
    <col min="11770" max="11771" width="0" style="2" hidden="1" customWidth="1"/>
    <col min="11772" max="11772" width="7.6640625" style="2" customWidth="1"/>
    <col min="11773" max="11773" width="4.21875" style="2" customWidth="1"/>
    <col min="11774" max="11774" width="98" style="2" customWidth="1"/>
    <col min="11775" max="11775" width="16.109375" style="2" customWidth="1"/>
    <col min="11776" max="11776" width="1.88671875" style="2" customWidth="1"/>
    <col min="11777" max="11777" width="15.88671875" style="2" customWidth="1"/>
    <col min="11778" max="11778" width="1.88671875" style="2" customWidth="1"/>
    <col min="11779" max="11779" width="13.33203125" style="2" customWidth="1"/>
    <col min="11780" max="11780" width="1.88671875" style="2" customWidth="1"/>
    <col min="11781" max="11781" width="13.33203125" style="2" customWidth="1"/>
    <col min="11782" max="11782" width="2.33203125" style="2" customWidth="1"/>
    <col min="11783" max="11783" width="2.109375" style="2" customWidth="1"/>
    <col min="11784" max="11784" width="16.77734375" style="2" customWidth="1"/>
    <col min="11785" max="11785" width="13.6640625" style="2" customWidth="1"/>
    <col min="11786" max="11795" width="8.6640625" style="2" customWidth="1"/>
    <col min="11796" max="11796" width="20.77734375" style="2" customWidth="1"/>
    <col min="11797" max="12025" width="10.21875" style="2"/>
    <col min="12026" max="12027" width="0" style="2" hidden="1" customWidth="1"/>
    <col min="12028" max="12028" width="7.6640625" style="2" customWidth="1"/>
    <col min="12029" max="12029" width="4.21875" style="2" customWidth="1"/>
    <col min="12030" max="12030" width="98" style="2" customWidth="1"/>
    <col min="12031" max="12031" width="16.109375" style="2" customWidth="1"/>
    <col min="12032" max="12032" width="1.88671875" style="2" customWidth="1"/>
    <col min="12033" max="12033" width="15.88671875" style="2" customWidth="1"/>
    <col min="12034" max="12034" width="1.88671875" style="2" customWidth="1"/>
    <col min="12035" max="12035" width="13.33203125" style="2" customWidth="1"/>
    <col min="12036" max="12036" width="1.88671875" style="2" customWidth="1"/>
    <col min="12037" max="12037" width="13.33203125" style="2" customWidth="1"/>
    <col min="12038" max="12038" width="2.33203125" style="2" customWidth="1"/>
    <col min="12039" max="12039" width="2.109375" style="2" customWidth="1"/>
    <col min="12040" max="12040" width="16.77734375" style="2" customWidth="1"/>
    <col min="12041" max="12041" width="13.6640625" style="2" customWidth="1"/>
    <col min="12042" max="12051" width="8.6640625" style="2" customWidth="1"/>
    <col min="12052" max="12052" width="20.77734375" style="2" customWidth="1"/>
    <col min="12053" max="12281" width="10.21875" style="2"/>
    <col min="12282" max="12283" width="0" style="2" hidden="1" customWidth="1"/>
    <col min="12284" max="12284" width="7.6640625" style="2" customWidth="1"/>
    <col min="12285" max="12285" width="4.21875" style="2" customWidth="1"/>
    <col min="12286" max="12286" width="98" style="2" customWidth="1"/>
    <col min="12287" max="12287" width="16.109375" style="2" customWidth="1"/>
    <col min="12288" max="12288" width="1.88671875" style="2" customWidth="1"/>
    <col min="12289" max="12289" width="15.88671875" style="2" customWidth="1"/>
    <col min="12290" max="12290" width="1.88671875" style="2" customWidth="1"/>
    <col min="12291" max="12291" width="13.33203125" style="2" customWidth="1"/>
    <col min="12292" max="12292" width="1.88671875" style="2" customWidth="1"/>
    <col min="12293" max="12293" width="13.33203125" style="2" customWidth="1"/>
    <col min="12294" max="12294" width="2.33203125" style="2" customWidth="1"/>
    <col min="12295" max="12295" width="2.109375" style="2" customWidth="1"/>
    <col min="12296" max="12296" width="16.77734375" style="2" customWidth="1"/>
    <col min="12297" max="12297" width="13.6640625" style="2" customWidth="1"/>
    <col min="12298" max="12307" width="8.6640625" style="2" customWidth="1"/>
    <col min="12308" max="12308" width="20.77734375" style="2" customWidth="1"/>
    <col min="12309" max="12537" width="10.21875" style="2"/>
    <col min="12538" max="12539" width="0" style="2" hidden="1" customWidth="1"/>
    <col min="12540" max="12540" width="7.6640625" style="2" customWidth="1"/>
    <col min="12541" max="12541" width="4.21875" style="2" customWidth="1"/>
    <col min="12542" max="12542" width="98" style="2" customWidth="1"/>
    <col min="12543" max="12543" width="16.109375" style="2" customWidth="1"/>
    <col min="12544" max="12544" width="1.88671875" style="2" customWidth="1"/>
    <col min="12545" max="12545" width="15.88671875" style="2" customWidth="1"/>
    <col min="12546" max="12546" width="1.88671875" style="2" customWidth="1"/>
    <col min="12547" max="12547" width="13.33203125" style="2" customWidth="1"/>
    <col min="12548" max="12548" width="1.88671875" style="2" customWidth="1"/>
    <col min="12549" max="12549" width="13.33203125" style="2" customWidth="1"/>
    <col min="12550" max="12550" width="2.33203125" style="2" customWidth="1"/>
    <col min="12551" max="12551" width="2.109375" style="2" customWidth="1"/>
    <col min="12552" max="12552" width="16.77734375" style="2" customWidth="1"/>
    <col min="12553" max="12553" width="13.6640625" style="2" customWidth="1"/>
    <col min="12554" max="12563" width="8.6640625" style="2" customWidth="1"/>
    <col min="12564" max="12564" width="20.77734375" style="2" customWidth="1"/>
    <col min="12565" max="12793" width="10.21875" style="2"/>
    <col min="12794" max="12795" width="0" style="2" hidden="1" customWidth="1"/>
    <col min="12796" max="12796" width="7.6640625" style="2" customWidth="1"/>
    <col min="12797" max="12797" width="4.21875" style="2" customWidth="1"/>
    <col min="12798" max="12798" width="98" style="2" customWidth="1"/>
    <col min="12799" max="12799" width="16.109375" style="2" customWidth="1"/>
    <col min="12800" max="12800" width="1.88671875" style="2" customWidth="1"/>
    <col min="12801" max="12801" width="15.88671875" style="2" customWidth="1"/>
    <col min="12802" max="12802" width="1.88671875" style="2" customWidth="1"/>
    <col min="12803" max="12803" width="13.33203125" style="2" customWidth="1"/>
    <col min="12804" max="12804" width="1.88671875" style="2" customWidth="1"/>
    <col min="12805" max="12805" width="13.33203125" style="2" customWidth="1"/>
    <col min="12806" max="12806" width="2.33203125" style="2" customWidth="1"/>
    <col min="12807" max="12807" width="2.109375" style="2" customWidth="1"/>
    <col min="12808" max="12808" width="16.77734375" style="2" customWidth="1"/>
    <col min="12809" max="12809" width="13.6640625" style="2" customWidth="1"/>
    <col min="12810" max="12819" width="8.6640625" style="2" customWidth="1"/>
    <col min="12820" max="12820" width="20.77734375" style="2" customWidth="1"/>
    <col min="12821" max="13049" width="10.21875" style="2"/>
    <col min="13050" max="13051" width="0" style="2" hidden="1" customWidth="1"/>
    <col min="13052" max="13052" width="7.6640625" style="2" customWidth="1"/>
    <col min="13053" max="13053" width="4.21875" style="2" customWidth="1"/>
    <col min="13054" max="13054" width="98" style="2" customWidth="1"/>
    <col min="13055" max="13055" width="16.109375" style="2" customWidth="1"/>
    <col min="13056" max="13056" width="1.88671875" style="2" customWidth="1"/>
    <col min="13057" max="13057" width="15.88671875" style="2" customWidth="1"/>
    <col min="13058" max="13058" width="1.88671875" style="2" customWidth="1"/>
    <col min="13059" max="13059" width="13.33203125" style="2" customWidth="1"/>
    <col min="13060" max="13060" width="1.88671875" style="2" customWidth="1"/>
    <col min="13061" max="13061" width="13.33203125" style="2" customWidth="1"/>
    <col min="13062" max="13062" width="2.33203125" style="2" customWidth="1"/>
    <col min="13063" max="13063" width="2.109375" style="2" customWidth="1"/>
    <col min="13064" max="13064" width="16.77734375" style="2" customWidth="1"/>
    <col min="13065" max="13065" width="13.6640625" style="2" customWidth="1"/>
    <col min="13066" max="13075" width="8.6640625" style="2" customWidth="1"/>
    <col min="13076" max="13076" width="20.77734375" style="2" customWidth="1"/>
    <col min="13077" max="13305" width="10.21875" style="2"/>
    <col min="13306" max="13307" width="0" style="2" hidden="1" customWidth="1"/>
    <col min="13308" max="13308" width="7.6640625" style="2" customWidth="1"/>
    <col min="13309" max="13309" width="4.21875" style="2" customWidth="1"/>
    <col min="13310" max="13310" width="98" style="2" customWidth="1"/>
    <col min="13311" max="13311" width="16.109375" style="2" customWidth="1"/>
    <col min="13312" max="13312" width="1.88671875" style="2" customWidth="1"/>
    <col min="13313" max="13313" width="15.88671875" style="2" customWidth="1"/>
    <col min="13314" max="13314" width="1.88671875" style="2" customWidth="1"/>
    <col min="13315" max="13315" width="13.33203125" style="2" customWidth="1"/>
    <col min="13316" max="13316" width="1.88671875" style="2" customWidth="1"/>
    <col min="13317" max="13317" width="13.33203125" style="2" customWidth="1"/>
    <col min="13318" max="13318" width="2.33203125" style="2" customWidth="1"/>
    <col min="13319" max="13319" width="2.109375" style="2" customWidth="1"/>
    <col min="13320" max="13320" width="16.77734375" style="2" customWidth="1"/>
    <col min="13321" max="13321" width="13.6640625" style="2" customWidth="1"/>
    <col min="13322" max="13331" width="8.6640625" style="2" customWidth="1"/>
    <col min="13332" max="13332" width="20.77734375" style="2" customWidth="1"/>
    <col min="13333" max="13561" width="10.21875" style="2"/>
    <col min="13562" max="13563" width="0" style="2" hidden="1" customWidth="1"/>
    <col min="13564" max="13564" width="7.6640625" style="2" customWidth="1"/>
    <col min="13565" max="13565" width="4.21875" style="2" customWidth="1"/>
    <col min="13566" max="13566" width="98" style="2" customWidth="1"/>
    <col min="13567" max="13567" width="16.109375" style="2" customWidth="1"/>
    <col min="13568" max="13568" width="1.88671875" style="2" customWidth="1"/>
    <col min="13569" max="13569" width="15.88671875" style="2" customWidth="1"/>
    <col min="13570" max="13570" width="1.88671875" style="2" customWidth="1"/>
    <col min="13571" max="13571" width="13.33203125" style="2" customWidth="1"/>
    <col min="13572" max="13572" width="1.88671875" style="2" customWidth="1"/>
    <col min="13573" max="13573" width="13.33203125" style="2" customWidth="1"/>
    <col min="13574" max="13574" width="2.33203125" style="2" customWidth="1"/>
    <col min="13575" max="13575" width="2.109375" style="2" customWidth="1"/>
    <col min="13576" max="13576" width="16.77734375" style="2" customWidth="1"/>
    <col min="13577" max="13577" width="13.6640625" style="2" customWidth="1"/>
    <col min="13578" max="13587" width="8.6640625" style="2" customWidth="1"/>
    <col min="13588" max="13588" width="20.77734375" style="2" customWidth="1"/>
    <col min="13589" max="13817" width="10.21875" style="2"/>
    <col min="13818" max="13819" width="0" style="2" hidden="1" customWidth="1"/>
    <col min="13820" max="13820" width="7.6640625" style="2" customWidth="1"/>
    <col min="13821" max="13821" width="4.21875" style="2" customWidth="1"/>
    <col min="13822" max="13822" width="98" style="2" customWidth="1"/>
    <col min="13823" max="13823" width="16.109375" style="2" customWidth="1"/>
    <col min="13824" max="13824" width="1.88671875" style="2" customWidth="1"/>
    <col min="13825" max="13825" width="15.88671875" style="2" customWidth="1"/>
    <col min="13826" max="13826" width="1.88671875" style="2" customWidth="1"/>
    <col min="13827" max="13827" width="13.33203125" style="2" customWidth="1"/>
    <col min="13828" max="13828" width="1.88671875" style="2" customWidth="1"/>
    <col min="13829" max="13829" width="13.33203125" style="2" customWidth="1"/>
    <col min="13830" max="13830" width="2.33203125" style="2" customWidth="1"/>
    <col min="13831" max="13831" width="2.109375" style="2" customWidth="1"/>
    <col min="13832" max="13832" width="16.77734375" style="2" customWidth="1"/>
    <col min="13833" max="13833" width="13.6640625" style="2" customWidth="1"/>
    <col min="13834" max="13843" width="8.6640625" style="2" customWidth="1"/>
    <col min="13844" max="13844" width="20.77734375" style="2" customWidth="1"/>
    <col min="13845" max="14073" width="10.21875" style="2"/>
    <col min="14074" max="14075" width="0" style="2" hidden="1" customWidth="1"/>
    <col min="14076" max="14076" width="7.6640625" style="2" customWidth="1"/>
    <col min="14077" max="14077" width="4.21875" style="2" customWidth="1"/>
    <col min="14078" max="14078" width="98" style="2" customWidth="1"/>
    <col min="14079" max="14079" width="16.109375" style="2" customWidth="1"/>
    <col min="14080" max="14080" width="1.88671875" style="2" customWidth="1"/>
    <col min="14081" max="14081" width="15.88671875" style="2" customWidth="1"/>
    <col min="14082" max="14082" width="1.88671875" style="2" customWidth="1"/>
    <col min="14083" max="14083" width="13.33203125" style="2" customWidth="1"/>
    <col min="14084" max="14084" width="1.88671875" style="2" customWidth="1"/>
    <col min="14085" max="14085" width="13.33203125" style="2" customWidth="1"/>
    <col min="14086" max="14086" width="2.33203125" style="2" customWidth="1"/>
    <col min="14087" max="14087" width="2.109375" style="2" customWidth="1"/>
    <col min="14088" max="14088" width="16.77734375" style="2" customWidth="1"/>
    <col min="14089" max="14089" width="13.6640625" style="2" customWidth="1"/>
    <col min="14090" max="14099" width="8.6640625" style="2" customWidth="1"/>
    <col min="14100" max="14100" width="20.77734375" style="2" customWidth="1"/>
    <col min="14101" max="14329" width="10.21875" style="2"/>
    <col min="14330" max="14331" width="0" style="2" hidden="1" customWidth="1"/>
    <col min="14332" max="14332" width="7.6640625" style="2" customWidth="1"/>
    <col min="14333" max="14333" width="4.21875" style="2" customWidth="1"/>
    <col min="14334" max="14334" width="98" style="2" customWidth="1"/>
    <col min="14335" max="14335" width="16.109375" style="2" customWidth="1"/>
    <col min="14336" max="14336" width="1.88671875" style="2" customWidth="1"/>
    <col min="14337" max="14337" width="15.88671875" style="2" customWidth="1"/>
    <col min="14338" max="14338" width="1.88671875" style="2" customWidth="1"/>
    <col min="14339" max="14339" width="13.33203125" style="2" customWidth="1"/>
    <col min="14340" max="14340" width="1.88671875" style="2" customWidth="1"/>
    <col min="14341" max="14341" width="13.33203125" style="2" customWidth="1"/>
    <col min="14342" max="14342" width="2.33203125" style="2" customWidth="1"/>
    <col min="14343" max="14343" width="2.109375" style="2" customWidth="1"/>
    <col min="14344" max="14344" width="16.77734375" style="2" customWidth="1"/>
    <col min="14345" max="14345" width="13.6640625" style="2" customWidth="1"/>
    <col min="14346" max="14355" width="8.6640625" style="2" customWidth="1"/>
    <col min="14356" max="14356" width="20.77734375" style="2" customWidth="1"/>
    <col min="14357" max="14585" width="10.21875" style="2"/>
    <col min="14586" max="14587" width="0" style="2" hidden="1" customWidth="1"/>
    <col min="14588" max="14588" width="7.6640625" style="2" customWidth="1"/>
    <col min="14589" max="14589" width="4.21875" style="2" customWidth="1"/>
    <col min="14590" max="14590" width="98" style="2" customWidth="1"/>
    <col min="14591" max="14591" width="16.109375" style="2" customWidth="1"/>
    <col min="14592" max="14592" width="1.88671875" style="2" customWidth="1"/>
    <col min="14593" max="14593" width="15.88671875" style="2" customWidth="1"/>
    <col min="14594" max="14594" width="1.88671875" style="2" customWidth="1"/>
    <col min="14595" max="14595" width="13.33203125" style="2" customWidth="1"/>
    <col min="14596" max="14596" width="1.88671875" style="2" customWidth="1"/>
    <col min="14597" max="14597" width="13.33203125" style="2" customWidth="1"/>
    <col min="14598" max="14598" width="2.33203125" style="2" customWidth="1"/>
    <col min="14599" max="14599" width="2.109375" style="2" customWidth="1"/>
    <col min="14600" max="14600" width="16.77734375" style="2" customWidth="1"/>
    <col min="14601" max="14601" width="13.6640625" style="2" customWidth="1"/>
    <col min="14602" max="14611" width="8.6640625" style="2" customWidth="1"/>
    <col min="14612" max="14612" width="20.77734375" style="2" customWidth="1"/>
    <col min="14613" max="14841" width="10.21875" style="2"/>
    <col min="14842" max="14843" width="0" style="2" hidden="1" customWidth="1"/>
    <col min="14844" max="14844" width="7.6640625" style="2" customWidth="1"/>
    <col min="14845" max="14845" width="4.21875" style="2" customWidth="1"/>
    <col min="14846" max="14846" width="98" style="2" customWidth="1"/>
    <col min="14847" max="14847" width="16.109375" style="2" customWidth="1"/>
    <col min="14848" max="14848" width="1.88671875" style="2" customWidth="1"/>
    <col min="14849" max="14849" width="15.88671875" style="2" customWidth="1"/>
    <col min="14850" max="14850" width="1.88671875" style="2" customWidth="1"/>
    <col min="14851" max="14851" width="13.33203125" style="2" customWidth="1"/>
    <col min="14852" max="14852" width="1.88671875" style="2" customWidth="1"/>
    <col min="14853" max="14853" width="13.33203125" style="2" customWidth="1"/>
    <col min="14854" max="14854" width="2.33203125" style="2" customWidth="1"/>
    <col min="14855" max="14855" width="2.109375" style="2" customWidth="1"/>
    <col min="14856" max="14856" width="16.77734375" style="2" customWidth="1"/>
    <col min="14857" max="14857" width="13.6640625" style="2" customWidth="1"/>
    <col min="14858" max="14867" width="8.6640625" style="2" customWidth="1"/>
    <col min="14868" max="14868" width="20.77734375" style="2" customWidth="1"/>
    <col min="14869" max="15097" width="10.21875" style="2"/>
    <col min="15098" max="15099" width="0" style="2" hidden="1" customWidth="1"/>
    <col min="15100" max="15100" width="7.6640625" style="2" customWidth="1"/>
    <col min="15101" max="15101" width="4.21875" style="2" customWidth="1"/>
    <col min="15102" max="15102" width="98" style="2" customWidth="1"/>
    <col min="15103" max="15103" width="16.109375" style="2" customWidth="1"/>
    <col min="15104" max="15104" width="1.88671875" style="2" customWidth="1"/>
    <col min="15105" max="15105" width="15.88671875" style="2" customWidth="1"/>
    <col min="15106" max="15106" width="1.88671875" style="2" customWidth="1"/>
    <col min="15107" max="15107" width="13.33203125" style="2" customWidth="1"/>
    <col min="15108" max="15108" width="1.88671875" style="2" customWidth="1"/>
    <col min="15109" max="15109" width="13.33203125" style="2" customWidth="1"/>
    <col min="15110" max="15110" width="2.33203125" style="2" customWidth="1"/>
    <col min="15111" max="15111" width="2.109375" style="2" customWidth="1"/>
    <col min="15112" max="15112" width="16.77734375" style="2" customWidth="1"/>
    <col min="15113" max="15113" width="13.6640625" style="2" customWidth="1"/>
    <col min="15114" max="15123" width="8.6640625" style="2" customWidth="1"/>
    <col min="15124" max="15124" width="20.77734375" style="2" customWidth="1"/>
    <col min="15125" max="15353" width="10.21875" style="2"/>
    <col min="15354" max="15355" width="0" style="2" hidden="1" customWidth="1"/>
    <col min="15356" max="15356" width="7.6640625" style="2" customWidth="1"/>
    <col min="15357" max="15357" width="4.21875" style="2" customWidth="1"/>
    <col min="15358" max="15358" width="98" style="2" customWidth="1"/>
    <col min="15359" max="15359" width="16.109375" style="2" customWidth="1"/>
    <col min="15360" max="15360" width="1.88671875" style="2" customWidth="1"/>
    <col min="15361" max="15361" width="15.88671875" style="2" customWidth="1"/>
    <col min="15362" max="15362" width="1.88671875" style="2" customWidth="1"/>
    <col min="15363" max="15363" width="13.33203125" style="2" customWidth="1"/>
    <col min="15364" max="15364" width="1.88671875" style="2" customWidth="1"/>
    <col min="15365" max="15365" width="13.33203125" style="2" customWidth="1"/>
    <col min="15366" max="15366" width="2.33203125" style="2" customWidth="1"/>
    <col min="15367" max="15367" width="2.109375" style="2" customWidth="1"/>
    <col min="15368" max="15368" width="16.77734375" style="2" customWidth="1"/>
    <col min="15369" max="15369" width="13.6640625" style="2" customWidth="1"/>
    <col min="15370" max="15379" width="8.6640625" style="2" customWidth="1"/>
    <col min="15380" max="15380" width="20.77734375" style="2" customWidth="1"/>
    <col min="15381" max="15609" width="10.21875" style="2"/>
    <col min="15610" max="15611" width="0" style="2" hidden="1" customWidth="1"/>
    <col min="15612" max="15612" width="7.6640625" style="2" customWidth="1"/>
    <col min="15613" max="15613" width="4.21875" style="2" customWidth="1"/>
    <col min="15614" max="15614" width="98" style="2" customWidth="1"/>
    <col min="15615" max="15615" width="16.109375" style="2" customWidth="1"/>
    <col min="15616" max="15616" width="1.88671875" style="2" customWidth="1"/>
    <col min="15617" max="15617" width="15.88671875" style="2" customWidth="1"/>
    <col min="15618" max="15618" width="1.88671875" style="2" customWidth="1"/>
    <col min="15619" max="15619" width="13.33203125" style="2" customWidth="1"/>
    <col min="15620" max="15620" width="1.88671875" style="2" customWidth="1"/>
    <col min="15621" max="15621" width="13.33203125" style="2" customWidth="1"/>
    <col min="15622" max="15622" width="2.33203125" style="2" customWidth="1"/>
    <col min="15623" max="15623" width="2.109375" style="2" customWidth="1"/>
    <col min="15624" max="15624" width="16.77734375" style="2" customWidth="1"/>
    <col min="15625" max="15625" width="13.6640625" style="2" customWidth="1"/>
    <col min="15626" max="15635" width="8.6640625" style="2" customWidth="1"/>
    <col min="15636" max="15636" width="20.77734375" style="2" customWidth="1"/>
    <col min="15637" max="15865" width="10.21875" style="2"/>
    <col min="15866" max="15867" width="0" style="2" hidden="1" customWidth="1"/>
    <col min="15868" max="15868" width="7.6640625" style="2" customWidth="1"/>
    <col min="15869" max="15869" width="4.21875" style="2" customWidth="1"/>
    <col min="15870" max="15870" width="98" style="2" customWidth="1"/>
    <col min="15871" max="15871" width="16.109375" style="2" customWidth="1"/>
    <col min="15872" max="15872" width="1.88671875" style="2" customWidth="1"/>
    <col min="15873" max="15873" width="15.88671875" style="2" customWidth="1"/>
    <col min="15874" max="15874" width="1.88671875" style="2" customWidth="1"/>
    <col min="15875" max="15875" width="13.33203125" style="2" customWidth="1"/>
    <col min="15876" max="15876" width="1.88671875" style="2" customWidth="1"/>
    <col min="15877" max="15877" width="13.33203125" style="2" customWidth="1"/>
    <col min="15878" max="15878" width="2.33203125" style="2" customWidth="1"/>
    <col min="15879" max="15879" width="2.109375" style="2" customWidth="1"/>
    <col min="15880" max="15880" width="16.77734375" style="2" customWidth="1"/>
    <col min="15881" max="15881" width="13.6640625" style="2" customWidth="1"/>
    <col min="15882" max="15891" width="8.6640625" style="2" customWidth="1"/>
    <col min="15892" max="15892" width="20.77734375" style="2" customWidth="1"/>
    <col min="15893" max="16121" width="10.21875" style="2"/>
    <col min="16122" max="16123" width="0" style="2" hidden="1" customWidth="1"/>
    <col min="16124" max="16124" width="7.6640625" style="2" customWidth="1"/>
    <col min="16125" max="16125" width="4.21875" style="2" customWidth="1"/>
    <col min="16126" max="16126" width="98" style="2" customWidth="1"/>
    <col min="16127" max="16127" width="16.109375" style="2" customWidth="1"/>
    <col min="16128" max="16128" width="1.88671875" style="2" customWidth="1"/>
    <col min="16129" max="16129" width="15.88671875" style="2" customWidth="1"/>
    <col min="16130" max="16130" width="1.88671875" style="2" customWidth="1"/>
    <col min="16131" max="16131" width="13.33203125" style="2" customWidth="1"/>
    <col min="16132" max="16132" width="1.88671875" style="2" customWidth="1"/>
    <col min="16133" max="16133" width="13.33203125" style="2" customWidth="1"/>
    <col min="16134" max="16134" width="2.33203125" style="2" customWidth="1"/>
    <col min="16135" max="16135" width="2.109375" style="2" customWidth="1"/>
    <col min="16136" max="16136" width="16.77734375" style="2" customWidth="1"/>
    <col min="16137" max="16137" width="13.6640625" style="2" customWidth="1"/>
    <col min="16138" max="16147" width="8.6640625" style="2" customWidth="1"/>
    <col min="16148" max="16148" width="20.77734375" style="2" customWidth="1"/>
    <col min="16149" max="16384" width="10.21875" style="2"/>
  </cols>
  <sheetData>
    <row r="1" spans="1:26" ht="30">
      <c r="A1" s="2" t="s">
        <v>0</v>
      </c>
      <c r="B1" s="4"/>
      <c r="C1" s="298" t="s">
        <v>1</v>
      </c>
      <c r="D1" s="298"/>
      <c r="E1" s="298"/>
      <c r="F1" s="19"/>
      <c r="G1" s="19"/>
      <c r="H1" s="19"/>
      <c r="I1" s="19"/>
      <c r="J1" s="19"/>
      <c r="K1" s="19"/>
    </row>
    <row r="2" spans="1:26" ht="23.25">
      <c r="A2" s="2" t="s">
        <v>2</v>
      </c>
      <c r="B2" s="4">
        <v>38353</v>
      </c>
      <c r="C2" s="1142" t="s">
        <v>3</v>
      </c>
      <c r="D2" s="1142"/>
      <c r="E2" s="1142"/>
      <c r="F2" s="19"/>
      <c r="G2" s="19"/>
      <c r="H2" s="19"/>
      <c r="I2" s="19"/>
      <c r="J2" s="19"/>
      <c r="K2" s="19"/>
    </row>
    <row r="3" spans="1:26" ht="23.25">
      <c r="A3" s="2" t="s">
        <v>4</v>
      </c>
      <c r="B3" s="4">
        <v>38717</v>
      </c>
      <c r="C3" s="20" t="s">
        <v>5</v>
      </c>
      <c r="D3" s="25"/>
      <c r="E3" s="25"/>
      <c r="F3" s="19"/>
      <c r="G3" s="25"/>
      <c r="H3" s="19"/>
      <c r="I3" s="19"/>
      <c r="J3" s="19"/>
      <c r="K3" s="19"/>
    </row>
    <row r="4" spans="1:26" ht="29.25" customHeight="1">
      <c r="C4" s="29"/>
      <c r="D4" s="21"/>
      <c r="E4" s="16"/>
      <c r="F4" s="16"/>
      <c r="G4" s="16"/>
      <c r="H4" s="16"/>
      <c r="I4" s="16"/>
      <c r="J4" s="16"/>
      <c r="K4" s="16"/>
    </row>
    <row r="5" spans="1:26" s="6" customFormat="1" ht="49.5" customHeight="1" thickBot="1">
      <c r="C5" s="1143"/>
      <c r="D5" s="1143"/>
      <c r="E5" s="1143"/>
      <c r="F5" s="72"/>
      <c r="G5" s="71" t="s">
        <v>6</v>
      </c>
      <c r="H5" s="72"/>
      <c r="I5" s="71" t="s">
        <v>7</v>
      </c>
      <c r="J5" s="72"/>
      <c r="K5" s="71" t="s">
        <v>8</v>
      </c>
      <c r="L5" s="101"/>
      <c r="M5" s="101"/>
      <c r="Q5" s="277" t="s">
        <v>9</v>
      </c>
      <c r="R5" s="277" t="str">
        <f>K6</f>
        <v>3/23 - 2/24</v>
      </c>
      <c r="T5" s="278" t="s">
        <v>10</v>
      </c>
      <c r="U5" s="278" t="s">
        <v>11</v>
      </c>
      <c r="V5" s="279" t="s">
        <v>12</v>
      </c>
      <c r="W5" s="279" t="s">
        <v>13</v>
      </c>
      <c r="X5" s="279" t="s">
        <v>14</v>
      </c>
      <c r="Y5" s="279" t="s">
        <v>15</v>
      </c>
      <c r="Z5" s="279" t="s">
        <v>16</v>
      </c>
    </row>
    <row r="6" spans="1:26" ht="21" thickBot="1">
      <c r="C6" s="70"/>
      <c r="D6" s="69" t="s">
        <v>17</v>
      </c>
      <c r="E6" s="70"/>
      <c r="F6" s="74"/>
      <c r="G6" s="73" t="s">
        <v>18</v>
      </c>
      <c r="H6" s="74"/>
      <c r="I6" s="276" t="str">
        <f>G6</f>
        <v>3/23 - 2/24</v>
      </c>
      <c r="J6" s="74"/>
      <c r="K6" s="73" t="str">
        <f>G6</f>
        <v>3/23 - 2/24</v>
      </c>
      <c r="L6" s="55"/>
      <c r="M6" s="55"/>
      <c r="P6" s="32" t="s">
        <v>19</v>
      </c>
      <c r="Q6" s="64">
        <f>E8</f>
        <v>175000</v>
      </c>
      <c r="R6" s="388" t="e">
        <f>MAX(0,'2023.06 to 2024.05 LC'!$F11-$Q$6)</f>
        <v>#VALUE!</v>
      </c>
      <c r="T6" s="284">
        <v>175000</v>
      </c>
      <c r="U6" s="289">
        <v>73.67</v>
      </c>
      <c r="V6" s="289">
        <v>242.51</v>
      </c>
      <c r="W6" s="289">
        <v>242.51</v>
      </c>
      <c r="X6" s="290">
        <v>242.51</v>
      </c>
      <c r="Y6" s="294">
        <f>((U6*$U$9)+(V6*$V$9)+(W6*$W$9)+(X6*$X$9))/$Y$9</f>
        <v>132.88402843601898</v>
      </c>
      <c r="Z6" s="294">
        <f>Y6*$Y$9</f>
        <v>28038.530000000006</v>
      </c>
    </row>
    <row r="7" spans="1:26" s="7" customFormat="1" ht="18.75" thickBot="1">
      <c r="A7" s="7" t="s">
        <v>20</v>
      </c>
      <c r="B7" s="7" t="s">
        <v>20</v>
      </c>
      <c r="C7" s="26">
        <v>1</v>
      </c>
      <c r="D7" s="75" t="s">
        <v>21</v>
      </c>
      <c r="E7" s="75"/>
      <c r="F7" s="92"/>
      <c r="G7" s="301">
        <f ca="1">(SUM(OFFSET('Medical &amp; Rx Total'!$D$7,COUNT('Medical &amp; Rx Total'!$D$8:$D$30),0,-12)))+(SUM(OFFSET('Medical &amp; Rx Total'!$H$7,COUNT('Medical &amp; Rx Total'!$H$8:$H$30),0,-12)))</f>
        <v>17995045.890000001</v>
      </c>
      <c r="H7" s="93"/>
      <c r="I7" s="91">
        <f ca="1">(SUM(OFFSET('Medical &amp; Rx Total'!$G$7,COUNT('Medical &amp; Rx Total'!$G$8:$G$30),0,-12)))</f>
        <v>3858201.0899999994</v>
      </c>
      <c r="J7" s="93"/>
      <c r="K7" s="91">
        <f ca="1">+G7+I7</f>
        <v>21853246.98</v>
      </c>
      <c r="L7" s="102"/>
      <c r="M7" s="102"/>
      <c r="P7" s="35" t="s">
        <v>22</v>
      </c>
      <c r="Q7" s="64">
        <f>E9</f>
        <v>70000</v>
      </c>
      <c r="R7" s="389" t="e">
        <f>MAX(0,'2023.06 to 2024.05 LC'!$F12-$Q$6)</f>
        <v>#VALUE!</v>
      </c>
      <c r="T7" s="285">
        <v>200000</v>
      </c>
      <c r="U7" s="291">
        <v>67.37</v>
      </c>
      <c r="V7" s="291">
        <v>221.75</v>
      </c>
      <c r="W7" s="291">
        <v>221.75</v>
      </c>
      <c r="X7" s="292">
        <v>221.75</v>
      </c>
      <c r="Y7" s="294">
        <f>((U7*$U$9)+(V7*$V$9)+(W7*$W$9)+(X7*$X$9))/$Y$9</f>
        <v>121.51274881516589</v>
      </c>
      <c r="Z7" s="294">
        <f>Y7*$Y$9</f>
        <v>25639.190000000002</v>
      </c>
    </row>
    <row r="8" spans="1:26" ht="18.75" thickBot="1">
      <c r="C8" s="26">
        <f>+C7+1</f>
        <v>2</v>
      </c>
      <c r="D8" s="77" t="s">
        <v>23</v>
      </c>
      <c r="E8" s="462">
        <v>175000</v>
      </c>
      <c r="F8" s="95"/>
      <c r="G8" s="95" t="e">
        <f>-($R$226)</f>
        <v>#VALUE!</v>
      </c>
      <c r="H8" s="95"/>
      <c r="I8" s="95">
        <v>0</v>
      </c>
      <c r="J8" s="95"/>
      <c r="K8" s="95" t="e">
        <f>+I8+G8</f>
        <v>#VALUE!</v>
      </c>
      <c r="L8" s="55"/>
      <c r="M8" s="55"/>
      <c r="R8" s="389" t="e">
        <f>MAX(0,'2023.06 to 2024.05 LC'!$F13-$Q$6)</f>
        <v>#VALUE!</v>
      </c>
      <c r="T8" s="287">
        <v>225000</v>
      </c>
      <c r="U8" s="291">
        <v>61.04</v>
      </c>
      <c r="V8" s="291">
        <v>200.92</v>
      </c>
      <c r="W8" s="291">
        <v>200.92</v>
      </c>
      <c r="X8" s="292">
        <v>200.92</v>
      </c>
      <c r="Y8" s="296">
        <f>((U8*$U$9)+(V8*$V$9)+(W8*$W$9)+(X8*$X$9))/$Y$9</f>
        <v>110.09744075829383</v>
      </c>
      <c r="Z8" s="296">
        <f>Y8*$Y$9</f>
        <v>23230.559999999998</v>
      </c>
    </row>
    <row r="9" spans="1:26" ht="18.75" thickBot="1">
      <c r="C9" s="26">
        <f>+C8+1</f>
        <v>3</v>
      </c>
      <c r="D9" s="15" t="s">
        <v>24</v>
      </c>
      <c r="E9" s="463">
        <v>70000</v>
      </c>
      <c r="F9" s="92"/>
      <c r="G9" s="91" t="e">
        <f ca="1">+G7+G8</f>
        <v>#VALUE!</v>
      </c>
      <c r="H9" s="93"/>
      <c r="I9" s="91">
        <f ca="1">+I8+I7</f>
        <v>3858201.0899999994</v>
      </c>
      <c r="J9" s="93"/>
      <c r="K9" s="91" t="e">
        <f ca="1">+K8+K7</f>
        <v>#VALUE!</v>
      </c>
      <c r="L9" s="55"/>
      <c r="M9" s="55"/>
      <c r="R9" s="389" t="e">
        <f>MAX(0,'2023.06 to 2024.05 LC'!$F14-$Q$6)</f>
        <v>#VALUE!</v>
      </c>
      <c r="T9" s="295" t="s">
        <v>25</v>
      </c>
      <c r="U9" s="293">
        <v>137</v>
      </c>
      <c r="V9" s="288">
        <v>26</v>
      </c>
      <c r="W9" s="288">
        <v>23</v>
      </c>
      <c r="X9" s="288">
        <v>25</v>
      </c>
      <c r="Y9" s="466">
        <f>SUM(U9:X9)</f>
        <v>211</v>
      </c>
      <c r="Z9" s="467"/>
    </row>
    <row r="10" spans="1:26" ht="18">
      <c r="C10" s="26">
        <f>+C9+1</f>
        <v>4</v>
      </c>
      <c r="D10" s="76" t="s">
        <v>26</v>
      </c>
      <c r="E10" s="14"/>
      <c r="F10" s="95"/>
      <c r="G10" s="95">
        <f ca="1">(SUM(OFFSET('Medical &amp; Rx Total'!$B$7,COUNT('Medical &amp; Rx Total'!$B$8:$B$30),0,-13)))-(SUM(OFFSET('Medical &amp; Rx Total'!$B$7,COUNT('Medical &amp; Rx Total'!$B$8:$B$30),0,-1)))</f>
        <v>6948</v>
      </c>
      <c r="H10" s="96"/>
      <c r="I10" s="95">
        <f ca="1">+G10</f>
        <v>6948</v>
      </c>
      <c r="J10" s="95"/>
      <c r="K10" s="95">
        <f ca="1">+G10</f>
        <v>6948</v>
      </c>
      <c r="L10" s="55"/>
      <c r="M10" s="55"/>
      <c r="Q10" s="102"/>
      <c r="R10" s="389" t="e">
        <f>MAX(0,'2023.06 to 2024.05 LC'!$F15-$Q$6)</f>
        <v>#VALUE!</v>
      </c>
      <c r="T10" s="286"/>
      <c r="U10" s="291"/>
      <c r="V10" s="291"/>
      <c r="W10" s="291"/>
      <c r="X10" s="291"/>
    </row>
    <row r="11" spans="1:26" ht="18">
      <c r="C11" s="26">
        <f>+C10+1</f>
        <v>5</v>
      </c>
      <c r="D11" s="67" t="s">
        <v>27</v>
      </c>
      <c r="E11" s="14"/>
      <c r="F11" s="98"/>
      <c r="G11" s="97" t="e">
        <f ca="1">+G9/G10</f>
        <v>#VALUE!</v>
      </c>
      <c r="H11" s="98"/>
      <c r="I11" s="97">
        <f ca="1">+I9/I10</f>
        <v>555.29664507772009</v>
      </c>
      <c r="J11" s="98"/>
      <c r="K11" s="97" t="e">
        <f ca="1">+K9/K10</f>
        <v>#VALUE!</v>
      </c>
      <c r="L11" s="55"/>
      <c r="M11" s="55"/>
      <c r="R11" s="389" t="e">
        <f>MAX(0,'2023.06 to 2024.05 LC'!$F16-$Q$6)</f>
        <v>#VALUE!</v>
      </c>
      <c r="T11" s="280"/>
      <c r="U11" s="281"/>
      <c r="V11" s="281"/>
      <c r="W11" s="281"/>
      <c r="X11" s="281"/>
    </row>
    <row r="12" spans="1:26" ht="9" customHeight="1">
      <c r="C12" s="26" t="s">
        <v>20</v>
      </c>
      <c r="D12" s="16"/>
      <c r="E12" s="16"/>
      <c r="F12" s="92"/>
      <c r="G12" s="55"/>
      <c r="H12" s="55"/>
      <c r="I12" s="55"/>
      <c r="J12" s="55"/>
      <c r="K12" s="55"/>
      <c r="L12" s="55"/>
      <c r="M12" s="55"/>
      <c r="R12" s="389" t="e">
        <f>MAX(0,'2023.06 to 2024.05 LC'!$F17-$Q$6)</f>
        <v>#VALUE!</v>
      </c>
      <c r="S12" s="2" t="s">
        <v>20</v>
      </c>
      <c r="T12" s="280"/>
      <c r="U12" s="281"/>
      <c r="V12" s="281"/>
      <c r="W12" s="281"/>
      <c r="X12" s="281"/>
    </row>
    <row r="13" spans="1:26" ht="20.25">
      <c r="C13" s="68"/>
      <c r="D13" s="69" t="s">
        <v>28</v>
      </c>
      <c r="E13" s="402"/>
      <c r="F13" s="90"/>
      <c r="G13" s="100"/>
      <c r="H13" s="90"/>
      <c r="I13" s="100"/>
      <c r="J13" s="90"/>
      <c r="K13" s="100"/>
      <c r="L13" s="55"/>
      <c r="M13" s="55"/>
      <c r="Q13" s="102"/>
      <c r="R13" s="389" t="e">
        <f>MAX(0,'2023.06 to 2024.05 LC'!$F18-$Q$6)</f>
        <v>#VALUE!</v>
      </c>
      <c r="T13" s="282"/>
      <c r="U13" s="283"/>
      <c r="V13" s="283"/>
      <c r="W13" s="283"/>
      <c r="X13" s="283"/>
    </row>
    <row r="14" spans="1:26" ht="18">
      <c r="C14" s="26">
        <f>C11+1</f>
        <v>6</v>
      </c>
      <c r="D14" s="15" t="s">
        <v>29</v>
      </c>
      <c r="E14" s="14"/>
      <c r="F14" s="92"/>
      <c r="G14" s="91">
        <v>150000</v>
      </c>
      <c r="H14" s="91"/>
      <c r="I14" s="91">
        <v>0</v>
      </c>
      <c r="J14" s="93"/>
      <c r="K14" s="91">
        <f>+I14+G14</f>
        <v>150000</v>
      </c>
      <c r="M14" s="465" t="s">
        <v>30</v>
      </c>
      <c r="R14" s="389" t="e">
        <f>MAX(0,'2023.06 to 2024.05 LC'!$F19-$Q$6)</f>
        <v>#VALUE!</v>
      </c>
    </row>
    <row r="15" spans="1:26" ht="18">
      <c r="C15" s="26">
        <f>+C14+1</f>
        <v>7</v>
      </c>
      <c r="D15" s="1144" t="s">
        <v>31</v>
      </c>
      <c r="E15" s="1144"/>
      <c r="F15" s="92"/>
      <c r="G15" s="92">
        <v>0</v>
      </c>
      <c r="H15" s="101"/>
      <c r="I15" s="92">
        <v>0</v>
      </c>
      <c r="J15" s="92"/>
      <c r="K15" s="92">
        <f>+I15+G15</f>
        <v>0</v>
      </c>
      <c r="L15" s="55"/>
      <c r="M15" s="55"/>
      <c r="R15" s="389" t="e">
        <f>MAX(0,'2023.06 to 2024.05 LC'!$F20-$Q$6)</f>
        <v>#VALUE!</v>
      </c>
      <c r="T15" s="10"/>
      <c r="U15" s="10"/>
    </row>
    <row r="16" spans="1:26" ht="18">
      <c r="C16" s="26">
        <f>+C15+1</f>
        <v>8</v>
      </c>
      <c r="D16" s="14" t="s">
        <v>32</v>
      </c>
      <c r="E16" s="14"/>
      <c r="F16" s="95"/>
      <c r="G16" s="95">
        <f>-($R$227*$Q$6)+(-$Q$7)</f>
        <v>-70000</v>
      </c>
      <c r="H16" s="302"/>
      <c r="I16" s="95">
        <v>0</v>
      </c>
      <c r="J16" s="95"/>
      <c r="K16" s="95">
        <f>+I16+G16</f>
        <v>-70000</v>
      </c>
      <c r="L16" s="55"/>
      <c r="M16" s="55"/>
      <c r="Q16" s="102"/>
      <c r="R16" s="389" t="e">
        <f>MAX(0,'2023.06 to 2024.05 LC'!$F21-$Q$6)</f>
        <v>#VALUE!</v>
      </c>
    </row>
    <row r="17" spans="1:22" ht="18">
      <c r="C17" s="26">
        <f>+C16+1</f>
        <v>9</v>
      </c>
      <c r="D17" s="76" t="s">
        <v>33</v>
      </c>
      <c r="E17" s="14"/>
      <c r="F17" s="92"/>
      <c r="G17" s="91" t="e">
        <f ca="1">+G16+G15+G14+G9</f>
        <v>#VALUE!</v>
      </c>
      <c r="H17" s="92"/>
      <c r="I17" s="91">
        <f ca="1">+I16+I15+I14+I9</f>
        <v>3858201.0899999994</v>
      </c>
      <c r="J17" s="92"/>
      <c r="K17" s="91" t="e">
        <f ca="1">+I17+G17</f>
        <v>#VALUE!</v>
      </c>
      <c r="L17" s="55"/>
      <c r="M17" s="55"/>
      <c r="R17" s="389" t="e">
        <f>MAX(0,'2023.06 to 2024.05 LC'!$F22-$Q$6)</f>
        <v>#VALUE!</v>
      </c>
    </row>
    <row r="18" spans="1:22" ht="9" customHeight="1">
      <c r="C18" s="26"/>
      <c r="D18" s="76"/>
      <c r="E18" s="14"/>
      <c r="F18" s="92"/>
      <c r="G18" s="91"/>
      <c r="H18" s="92"/>
      <c r="I18" s="91"/>
      <c r="J18" s="92"/>
      <c r="K18" s="91"/>
      <c r="L18" s="55"/>
      <c r="M18" s="55"/>
      <c r="R18" s="389" t="e">
        <f>MAX(0,'2023.06 to 2024.05 LC'!$F23-$Q$6)</f>
        <v>#VALUE!</v>
      </c>
    </row>
    <row r="19" spans="1:22" ht="18">
      <c r="C19" s="26">
        <f>C17+1</f>
        <v>10</v>
      </c>
      <c r="D19" s="14" t="s">
        <v>34</v>
      </c>
      <c r="E19" s="14"/>
      <c r="F19" s="101"/>
      <c r="G19" s="103">
        <v>0.08</v>
      </c>
      <c r="H19" s="101"/>
      <c r="I19" s="103">
        <v>8.5000000000000006E-2</v>
      </c>
      <c r="J19" s="101"/>
      <c r="K19" s="103" t="e">
        <f ca="1">+((G19*G17)+(I19*I17))/K17</f>
        <v>#VALUE!</v>
      </c>
      <c r="L19" s="55"/>
      <c r="M19" s="55"/>
      <c r="Q19" s="102"/>
      <c r="R19" s="389" t="e">
        <f>MAX(0,'2023.06 to 2024.05 LC'!$F24-$Q$6)</f>
        <v>#VALUE!</v>
      </c>
    </row>
    <row r="20" spans="1:22" ht="18">
      <c r="B20" s="2">
        <v>10</v>
      </c>
      <c r="C20" s="26">
        <f>C19+1</f>
        <v>11</v>
      </c>
      <c r="D20" s="77" t="s">
        <v>35</v>
      </c>
      <c r="F20" s="303"/>
      <c r="G20" s="304">
        <f>(12+(12-COUNT('Medical &amp; Rx Total'!$B$19:$B$30)))+1</f>
        <v>20</v>
      </c>
      <c r="H20" s="305"/>
      <c r="I20" s="304">
        <f>+G20</f>
        <v>20</v>
      </c>
      <c r="J20" s="305"/>
      <c r="K20" s="304">
        <f>+G20</f>
        <v>20</v>
      </c>
      <c r="M20" s="55"/>
      <c r="R20" s="389" t="e">
        <f>MAX(0,'2023.06 to 2024.05 LC'!$F25-$Q$6)</f>
        <v>#VALUE!</v>
      </c>
    </row>
    <row r="21" spans="1:22" s="8" customFormat="1" ht="18">
      <c r="C21" s="26">
        <f>C20+1</f>
        <v>12</v>
      </c>
      <c r="D21" s="78" t="s">
        <v>36</v>
      </c>
      <c r="E21" s="22"/>
      <c r="F21" s="91"/>
      <c r="G21" s="104">
        <f>+((1+G19)^(G20/12))-1</f>
        <v>0.13685809661716242</v>
      </c>
      <c r="H21" s="91"/>
      <c r="I21" s="104">
        <f>+((1+I19)^(I20/12))-1</f>
        <v>0.14564367999814354</v>
      </c>
      <c r="J21" s="91"/>
      <c r="K21" s="104" t="e">
        <f ca="1">+((1+K19)^(K20/12))-1</f>
        <v>#VALUE!</v>
      </c>
      <c r="L21" s="105"/>
      <c r="M21" s="105"/>
      <c r="Q21" s="55"/>
      <c r="R21" s="389" t="e">
        <f>MAX(0,'2023.06 to 2024.05 LC'!$F26-$Q$6)</f>
        <v>#VALUE!</v>
      </c>
    </row>
    <row r="22" spans="1:22" s="8" customFormat="1" ht="18">
      <c r="C22" s="26">
        <f>C21+1</f>
        <v>13</v>
      </c>
      <c r="D22" s="78" t="s">
        <v>37</v>
      </c>
      <c r="E22" s="22"/>
      <c r="F22" s="91"/>
      <c r="G22" s="91" t="e">
        <f ca="1">+(1+G21)*G17</f>
        <v>#VALUE!</v>
      </c>
      <c r="H22" s="91"/>
      <c r="I22" s="91">
        <f ca="1">+(1+I21)*I17</f>
        <v>4420123.6949204477</v>
      </c>
      <c r="J22" s="91"/>
      <c r="K22" s="91" t="e">
        <f ca="1">+I22+G22</f>
        <v>#VALUE!</v>
      </c>
      <c r="L22" s="105"/>
      <c r="M22" s="105"/>
      <c r="Q22" s="102"/>
      <c r="R22" s="389" t="e">
        <f>MAX(0,'2023.06 to 2024.05 LC'!$F27-$Q$6)</f>
        <v>#VALUE!</v>
      </c>
    </row>
    <row r="23" spans="1:22" ht="18">
      <c r="C23" s="26">
        <f>+C22+1</f>
        <v>14</v>
      </c>
      <c r="D23" s="14" t="s">
        <v>38</v>
      </c>
      <c r="E23" s="14"/>
      <c r="F23" s="96"/>
      <c r="G23" s="95">
        <f>-G16</f>
        <v>70000</v>
      </c>
      <c r="H23" s="96"/>
      <c r="I23" s="95">
        <v>0</v>
      </c>
      <c r="J23" s="96"/>
      <c r="K23" s="95">
        <f>+I23+G23</f>
        <v>70000</v>
      </c>
      <c r="L23" s="55"/>
      <c r="M23" s="55"/>
      <c r="R23" s="389" t="e">
        <f>MAX(0,'2023.06 to 2024.05 LC'!$F28-$Q$6)</f>
        <v>#VALUE!</v>
      </c>
    </row>
    <row r="24" spans="1:22" ht="18">
      <c r="C24" s="26">
        <f>C23+1</f>
        <v>15</v>
      </c>
      <c r="D24" s="78" t="s">
        <v>39</v>
      </c>
      <c r="E24" s="23"/>
      <c r="F24" s="92"/>
      <c r="G24" s="91" t="e">
        <f ca="1">+G23+G22</f>
        <v>#VALUE!</v>
      </c>
      <c r="H24" s="92"/>
      <c r="I24" s="91">
        <f ca="1">+I23+I22</f>
        <v>4420123.6949204477</v>
      </c>
      <c r="J24" s="92"/>
      <c r="K24" s="91" t="e">
        <f ca="1">+I24+G24+M24</f>
        <v>#VALUE!</v>
      </c>
      <c r="L24" s="55"/>
      <c r="M24" s="56"/>
      <c r="R24" s="389" t="e">
        <f>MAX(0,'2023.06 to 2024.05 LC'!$F29-$Q$6)</f>
        <v>#VALUE!</v>
      </c>
    </row>
    <row r="25" spans="1:22" ht="18">
      <c r="C25" s="87">
        <f>+C24+1</f>
        <v>16</v>
      </c>
      <c r="D25" s="88" t="s">
        <v>40</v>
      </c>
      <c r="E25" s="6"/>
      <c r="F25" s="98"/>
      <c r="G25" s="97" t="e">
        <f ca="1">+G24/G10</f>
        <v>#VALUE!</v>
      </c>
      <c r="H25" s="98"/>
      <c r="I25" s="97">
        <f ca="1">+I24/I10</f>
        <v>636.17209195746227</v>
      </c>
      <c r="J25" s="98"/>
      <c r="K25" s="97" t="e">
        <f ca="1">+K24/K10</f>
        <v>#VALUE!</v>
      </c>
      <c r="L25" s="55"/>
      <c r="M25" s="55"/>
      <c r="Q25" s="102"/>
      <c r="R25" s="389" t="e">
        <f>MAX(0,'2023.06 to 2024.05 LC'!$F30-$Q$6)</f>
        <v>#VALUE!</v>
      </c>
      <c r="V25" s="5"/>
    </row>
    <row r="26" spans="1:22" ht="18">
      <c r="C26" s="87">
        <f>+C25+1</f>
        <v>17</v>
      </c>
      <c r="D26" s="89" t="s">
        <v>41</v>
      </c>
      <c r="E26" s="6"/>
      <c r="F26" s="103"/>
      <c r="G26" s="104"/>
      <c r="H26" s="103"/>
      <c r="I26" s="104" t="s">
        <v>20</v>
      </c>
      <c r="J26" s="103"/>
      <c r="K26" s="103">
        <v>1</v>
      </c>
      <c r="L26" s="55"/>
      <c r="M26" s="55"/>
      <c r="R26" s="389" t="e">
        <f>MAX(0,'2023.06 to 2024.05 LC'!$F31-$Q$6)</f>
        <v>#VALUE!</v>
      </c>
      <c r="V26" s="5"/>
    </row>
    <row r="27" spans="1:22" ht="16.5" customHeight="1">
      <c r="C27" s="87">
        <f>+C26+1</f>
        <v>18</v>
      </c>
      <c r="D27" s="89" t="s">
        <v>42</v>
      </c>
      <c r="E27" s="6"/>
      <c r="F27" s="92"/>
      <c r="G27" s="91" t="s">
        <v>20</v>
      </c>
      <c r="H27" s="92"/>
      <c r="I27" s="91"/>
      <c r="J27" s="92"/>
      <c r="K27" s="97" t="e">
        <f ca="1">+(K26*K25)</f>
        <v>#VALUE!</v>
      </c>
      <c r="L27" s="55"/>
      <c r="M27" s="55"/>
      <c r="R27" s="389" t="e">
        <f>MAX(0,'2023.06 to 2024.05 LC'!$F32-$Q$6)</f>
        <v>#VALUE!</v>
      </c>
    </row>
    <row r="28" spans="1:22" s="12" customFormat="1" ht="9" customHeight="1">
      <c r="C28" s="79"/>
      <c r="D28" s="80"/>
      <c r="E28" s="81"/>
      <c r="F28" s="94"/>
      <c r="G28" s="93"/>
      <c r="H28" s="94"/>
      <c r="I28" s="93"/>
      <c r="J28" s="94"/>
      <c r="K28" s="93"/>
      <c r="L28" s="99"/>
      <c r="M28" s="99"/>
      <c r="Q28" s="102"/>
      <c r="R28" s="389" t="e">
        <f>MAX(0,'2023.06 to 2024.05 LC'!$F33-$Q$6)</f>
        <v>#VALUE!</v>
      </c>
    </row>
    <row r="29" spans="1:22" ht="20.25">
      <c r="A29" s="11" t="e">
        <f>#REF!</f>
        <v>#REF!</v>
      </c>
      <c r="B29" s="11"/>
      <c r="C29" s="68"/>
      <c r="D29" s="69" t="s">
        <v>43</v>
      </c>
      <c r="E29" s="70"/>
      <c r="F29" s="90"/>
      <c r="G29" s="90"/>
      <c r="H29" s="90"/>
      <c r="I29" s="90"/>
      <c r="J29" s="90"/>
      <c r="K29" s="73"/>
      <c r="L29" s="55"/>
      <c r="M29" s="55"/>
      <c r="R29" s="389" t="e">
        <f>MAX(0,'2023.06 to 2024.05 LC'!$F34-$Q$6)</f>
        <v>#VALUE!</v>
      </c>
    </row>
    <row r="30" spans="1:22" s="8" customFormat="1" ht="18">
      <c r="A30" s="11" t="e">
        <f>#REF!</f>
        <v>#REF!</v>
      </c>
      <c r="B30" s="11"/>
      <c r="C30" s="26">
        <f>+C27+1</f>
        <v>19</v>
      </c>
      <c r="D30" s="13" t="s">
        <v>44</v>
      </c>
      <c r="E30" s="22"/>
      <c r="F30" s="59"/>
      <c r="G30" s="59">
        <f>34.39</f>
        <v>34.39</v>
      </c>
      <c r="H30" s="106"/>
      <c r="I30" s="59">
        <f>5.19*1.05</f>
        <v>5.4495000000000005</v>
      </c>
      <c r="J30" s="59"/>
      <c r="K30" s="59">
        <f t="shared" ref="K30:K35" si="0">SUM(G30:I30)</f>
        <v>39.839500000000001</v>
      </c>
      <c r="L30" s="105"/>
      <c r="M30" s="105"/>
      <c r="Q30" s="55"/>
      <c r="R30" s="389" t="e">
        <f>MAX(0,'2023.06 to 2024.05 LC'!$F35-$Q$6)</f>
        <v>#VALUE!</v>
      </c>
    </row>
    <row r="31" spans="1:22" s="8" customFormat="1" ht="18">
      <c r="A31" s="11"/>
      <c r="B31" s="11"/>
      <c r="C31" s="26">
        <f>+C30+1</f>
        <v>20</v>
      </c>
      <c r="D31" s="13" t="s">
        <v>45</v>
      </c>
      <c r="E31" s="22"/>
      <c r="F31" s="59"/>
      <c r="G31" s="60">
        <v>10</v>
      </c>
      <c r="H31" s="309"/>
      <c r="I31" s="60" t="s">
        <v>46</v>
      </c>
      <c r="J31" s="60"/>
      <c r="K31" s="60">
        <f t="shared" si="0"/>
        <v>10</v>
      </c>
      <c r="L31" s="105"/>
      <c r="M31" s="105"/>
      <c r="Q31" s="55"/>
      <c r="R31" s="389" t="e">
        <f>MAX(0,'2023.06 to 2024.05 LC'!$F36-$Q$6)</f>
        <v>#VALUE!</v>
      </c>
    </row>
    <row r="32" spans="1:22" s="8" customFormat="1" ht="18">
      <c r="A32" s="11"/>
      <c r="B32" s="11"/>
      <c r="C32" s="26">
        <f>+C31+1</f>
        <v>21</v>
      </c>
      <c r="D32" s="13" t="s">
        <v>47</v>
      </c>
      <c r="E32" s="22"/>
      <c r="F32" s="59"/>
      <c r="G32" s="60">
        <f>3.75+0.45+1.35+1</f>
        <v>6.5500000000000007</v>
      </c>
      <c r="H32" s="309"/>
      <c r="I32" s="60" t="s">
        <v>46</v>
      </c>
      <c r="J32" s="60"/>
      <c r="K32" s="60">
        <f t="shared" si="0"/>
        <v>6.5500000000000007</v>
      </c>
      <c r="L32" s="105"/>
      <c r="M32" s="105"/>
      <c r="Q32" s="55"/>
      <c r="R32" s="389" t="e">
        <f>MAX(0,'2023.06 to 2024.05 LC'!$F37-$Q$6)</f>
        <v>#VALUE!</v>
      </c>
    </row>
    <row r="33" spans="1:18" s="8" customFormat="1" ht="18">
      <c r="A33" s="11"/>
      <c r="B33" s="11"/>
      <c r="C33" s="26">
        <f>+C32+1</f>
        <v>22</v>
      </c>
      <c r="D33" s="13" t="s">
        <v>48</v>
      </c>
      <c r="E33" s="22"/>
      <c r="F33" s="59"/>
      <c r="G33" s="60">
        <v>15.17</v>
      </c>
      <c r="H33" s="309"/>
      <c r="I33" s="60" t="s">
        <v>46</v>
      </c>
      <c r="J33" s="60"/>
      <c r="K33" s="60">
        <f t="shared" si="0"/>
        <v>15.17</v>
      </c>
      <c r="L33" s="105"/>
      <c r="M33" s="105"/>
      <c r="Q33" s="55"/>
      <c r="R33" s="389" t="e">
        <f>MAX(0,'2023.06 to 2024.05 LC'!$F38-$Q$6)</f>
        <v>#VALUE!</v>
      </c>
    </row>
    <row r="34" spans="1:18" s="8" customFormat="1" ht="18">
      <c r="A34" s="11"/>
      <c r="B34" s="11"/>
      <c r="C34" s="26">
        <f>+C33+1</f>
        <v>23</v>
      </c>
      <c r="D34" s="15" t="s">
        <v>49</v>
      </c>
      <c r="E34" s="22"/>
      <c r="F34" s="91"/>
      <c r="G34" s="60" t="s">
        <v>46</v>
      </c>
      <c r="H34" s="309"/>
      <c r="I34" s="60">
        <f>-45.29*1.05</f>
        <v>-47.554500000000004</v>
      </c>
      <c r="J34" s="60"/>
      <c r="K34" s="60">
        <f t="shared" si="0"/>
        <v>-47.554500000000004</v>
      </c>
      <c r="L34" s="105"/>
      <c r="M34" s="105"/>
      <c r="Q34" s="102"/>
      <c r="R34" s="389" t="e">
        <f>MAX(0,'2023.06 to 2024.05 LC'!$F39-$Q$6)</f>
        <v>#VALUE!</v>
      </c>
    </row>
    <row r="35" spans="1:18" ht="18">
      <c r="A35" s="11"/>
      <c r="B35" s="11"/>
      <c r="C35" s="26">
        <f>C34+1</f>
        <v>24</v>
      </c>
      <c r="D35" s="22" t="str">
        <f>TEXT(P6,"$#,##0")&amp;" - "&amp;TEXT(Q6,"$#,##0") &amp;"    "&amp;TEXT(P7,"$#,##0")&amp;" - "&amp;TEXT(Q7,"$#,##0")</f>
        <v>Specific Stop-Loss - $175,000    Aggregating Specific - $70,000</v>
      </c>
      <c r="E35" s="22"/>
      <c r="F35" s="107"/>
      <c r="G35" s="108">
        <v>117.17</v>
      </c>
      <c r="H35" s="109"/>
      <c r="I35" s="108" t="s">
        <v>46</v>
      </c>
      <c r="J35" s="108"/>
      <c r="K35" s="108">
        <f t="shared" si="0"/>
        <v>117.17</v>
      </c>
      <c r="L35" s="55"/>
      <c r="M35" s="55"/>
      <c r="R35" s="389" t="e">
        <f>MAX(0,'2023.06 to 2024.05 LC'!$F41-$Q$6)</f>
        <v>#VALUE!</v>
      </c>
    </row>
    <row r="36" spans="1:18" s="5" customFormat="1" ht="17.45" customHeight="1">
      <c r="B36" s="9"/>
      <c r="C36" s="26">
        <f>+C35+1</f>
        <v>25</v>
      </c>
      <c r="D36" s="23" t="s">
        <v>50</v>
      </c>
      <c r="E36" s="82"/>
      <c r="F36" s="57"/>
      <c r="G36" s="97">
        <f>SUM(G30:G35)</f>
        <v>183.28</v>
      </c>
      <c r="H36" s="110"/>
      <c r="I36" s="97">
        <f>SUM(I30:I35)</f>
        <v>-42.105000000000004</v>
      </c>
      <c r="J36" s="110"/>
      <c r="K36" s="97">
        <f>SUM(K30:K35)</f>
        <v>141.17500000000001</v>
      </c>
      <c r="L36" s="111"/>
      <c r="M36" s="306"/>
      <c r="N36" s="307"/>
      <c r="Q36" s="55"/>
      <c r="R36" s="389" t="e">
        <f>MAX(0,'2023.06 to 2024.05 LC'!$F42-$Q$6)</f>
        <v>#VALUE!</v>
      </c>
    </row>
    <row r="37" spans="1:18" ht="9" customHeight="1">
      <c r="C37" s="26"/>
      <c r="D37" s="24"/>
      <c r="E37" s="28"/>
      <c r="F37" s="58"/>
      <c r="G37" s="112"/>
      <c r="H37" s="112"/>
      <c r="I37" s="112"/>
      <c r="J37" s="112"/>
      <c r="K37" s="112"/>
      <c r="L37" s="113"/>
      <c r="M37" s="55"/>
      <c r="R37" s="389"/>
    </row>
    <row r="38" spans="1:18" ht="20.85" customHeight="1">
      <c r="C38" s="68">
        <f>C36+1</f>
        <v>26</v>
      </c>
      <c r="D38" s="69" t="s">
        <v>51</v>
      </c>
      <c r="E38" s="86"/>
      <c r="F38" s="115"/>
      <c r="G38" s="114" t="e">
        <f ca="1">+G36+G25</f>
        <v>#VALUE!</v>
      </c>
      <c r="H38" s="115"/>
      <c r="I38" s="114">
        <f ca="1">+I36+I25</f>
        <v>594.06709195746225</v>
      </c>
      <c r="J38" s="115"/>
      <c r="K38" s="114" t="e">
        <f ca="1">+K36+K27</f>
        <v>#VALUE!</v>
      </c>
      <c r="L38" s="113"/>
      <c r="M38" s="55"/>
      <c r="Q38" s="102"/>
      <c r="R38" s="389"/>
    </row>
    <row r="39" spans="1:18" ht="9" customHeight="1">
      <c r="C39" s="26"/>
      <c r="D39" s="28"/>
      <c r="E39" s="28"/>
      <c r="F39" s="58"/>
      <c r="G39" s="112"/>
      <c r="H39" s="112"/>
      <c r="I39" s="112"/>
      <c r="J39" s="112"/>
      <c r="K39" s="112"/>
      <c r="L39" s="113"/>
      <c r="M39" s="55"/>
      <c r="R39" s="389"/>
    </row>
    <row r="40" spans="1:18" ht="17.45" customHeight="1">
      <c r="C40" s="26">
        <f>+C38+1</f>
        <v>27</v>
      </c>
      <c r="D40" s="23" t="s">
        <v>52</v>
      </c>
      <c r="E40" s="14"/>
      <c r="F40" s="116"/>
      <c r="G40" s="117"/>
      <c r="H40" s="117"/>
      <c r="I40" s="117"/>
      <c r="J40" s="117"/>
      <c r="K40" s="61">
        <f ca="1">(SUM(OFFSET('Medical &amp; Rx Total'!$C$7,COUNT('Medical &amp; Rx Total'!$C$8:$C$30),0,-1)))/(SUM(OFFSET('Medical &amp; Rx Total'!$B$7,COUNT('Medical &amp; Rx Total'!$B$8:$B$30),0,-1)))</f>
        <v>1838.9992140468228</v>
      </c>
      <c r="L40" s="118"/>
      <c r="M40" s="55"/>
      <c r="R40" s="389"/>
    </row>
    <row r="41" spans="1:18" ht="9" customHeight="1">
      <c r="C41" s="26"/>
      <c r="D41" s="28"/>
      <c r="E41" s="28"/>
      <c r="F41" s="58"/>
      <c r="G41" s="58"/>
      <c r="H41" s="58"/>
      <c r="I41" s="58"/>
      <c r="J41" s="58"/>
      <c r="K41" s="58"/>
      <c r="L41" s="113"/>
      <c r="M41" s="55"/>
      <c r="Q41" s="102"/>
      <c r="R41" s="389" t="e">
        <f>MAX(0,'2023.06 to 2024.05 LC'!$F47-$Q$6)</f>
        <v>#VALUE!</v>
      </c>
    </row>
    <row r="42" spans="1:18" ht="20.85" customHeight="1">
      <c r="C42" s="26"/>
      <c r="D42" s="24" t="s">
        <v>53</v>
      </c>
      <c r="E42" s="28"/>
      <c r="F42" s="58"/>
      <c r="G42" s="58"/>
      <c r="H42" s="58"/>
      <c r="I42" s="58"/>
      <c r="J42" s="58"/>
      <c r="K42" s="58" t="s">
        <v>20</v>
      </c>
      <c r="L42" s="113"/>
      <c r="M42" s="55"/>
      <c r="R42" s="389" t="e">
        <f>MAX(0,'2023.06 to 2024.05 LC'!$F48-$Q$6)</f>
        <v>#VALUE!</v>
      </c>
    </row>
    <row r="43" spans="1:18" s="31" customFormat="1" ht="17.45" customHeight="1">
      <c r="C43" s="68">
        <f>+C40+1</f>
        <v>28</v>
      </c>
      <c r="D43" s="69" t="s">
        <v>54</v>
      </c>
      <c r="E43" s="86"/>
      <c r="F43" s="115"/>
      <c r="G43" s="114" t="s">
        <v>20</v>
      </c>
      <c r="H43" s="115"/>
      <c r="I43" s="114"/>
      <c r="J43" s="115"/>
      <c r="K43" s="297" t="e">
        <f ca="1">+K38/K40-1</f>
        <v>#VALUE!</v>
      </c>
      <c r="L43" s="119"/>
      <c r="M43" s="119"/>
      <c r="Q43" s="55"/>
      <c r="R43" s="389" t="e">
        <f>MAX(0,'2023.06 to 2024.05 LC'!$F49-$Q$6)</f>
        <v>#VALUE!</v>
      </c>
    </row>
    <row r="44" spans="1:18" s="16" customFormat="1" ht="17.45" customHeight="1">
      <c r="C44" s="26">
        <f>+C43+1</f>
        <v>29</v>
      </c>
      <c r="D44" s="14" t="s">
        <v>55</v>
      </c>
      <c r="E44" s="14"/>
      <c r="F44" s="30"/>
      <c r="G44" s="120"/>
      <c r="H44" s="30"/>
      <c r="I44" s="120"/>
      <c r="J44" s="30"/>
      <c r="K44" s="120" t="e">
        <f ca="1">+((K27*1.015)+$K$36)/$K$40-1</f>
        <v>#VALUE!</v>
      </c>
      <c r="L44" s="49"/>
      <c r="M44" s="49"/>
      <c r="Q44" s="102"/>
      <c r="R44" s="389" t="e">
        <f>MAX(0,'2023.06 to 2024.05 LC'!$F50-$Q$6)</f>
        <v>#VALUE!</v>
      </c>
    </row>
    <row r="45" spans="1:18" s="16" customFormat="1" ht="17.45" customHeight="1">
      <c r="C45" s="26">
        <f>+C44+1</f>
        <v>30</v>
      </c>
      <c r="D45" s="14" t="s">
        <v>56</v>
      </c>
      <c r="E45" s="14"/>
      <c r="F45" s="30"/>
      <c r="G45" s="120"/>
      <c r="H45" s="30"/>
      <c r="I45" s="120"/>
      <c r="J45" s="30"/>
      <c r="K45" s="120" t="e">
        <f ca="1">+((K27*1.03)+$K$36)/$K$40-1</f>
        <v>#VALUE!</v>
      </c>
      <c r="L45" s="49"/>
      <c r="M45" s="49"/>
      <c r="Q45" s="55"/>
      <c r="R45" s="389" t="e">
        <f>MAX(0,'2023.06 to 2024.05 LC'!$F51-$Q$6)</f>
        <v>#VALUE!</v>
      </c>
    </row>
    <row r="46" spans="1:18" s="16" customFormat="1" ht="17.45" customHeight="1">
      <c r="C46" s="26">
        <f>+C45+1</f>
        <v>31</v>
      </c>
      <c r="D46" s="14" t="s">
        <v>57</v>
      </c>
      <c r="E46" s="14"/>
      <c r="F46" s="30"/>
      <c r="G46" s="30"/>
      <c r="H46" s="30"/>
      <c r="I46" s="30"/>
      <c r="J46" s="30"/>
      <c r="K46" s="120" t="e">
        <f ca="1">+((K27*1.05)+$K$36)/$K$40-1</f>
        <v>#VALUE!</v>
      </c>
      <c r="L46" s="49"/>
      <c r="M46" s="49"/>
      <c r="Q46" s="55"/>
      <c r="R46" s="389" t="e">
        <f>MAX(0,'2023.06 to 2024.05 LC'!$F52-$Q$6)</f>
        <v>#VALUE!</v>
      </c>
    </row>
    <row r="47" spans="1:18" hidden="1">
      <c r="C47" s="83">
        <f>+C46+1</f>
        <v>32</v>
      </c>
      <c r="D47" s="84" t="s">
        <v>58</v>
      </c>
      <c r="E47" s="84"/>
      <c r="F47" s="121"/>
      <c r="G47" s="121"/>
      <c r="H47" s="121"/>
      <c r="I47" s="121"/>
      <c r="J47" s="121"/>
      <c r="K47" s="122" t="e">
        <f ca="1">+K44</f>
        <v>#VALUE!</v>
      </c>
      <c r="L47" s="55"/>
      <c r="M47" s="55"/>
      <c r="Q47" s="102"/>
      <c r="R47" s="389" t="e">
        <f>MAX(0,'2023.06 to 2024.05 LC'!$F53-$Q$6)</f>
        <v>#VALUE!</v>
      </c>
    </row>
    <row r="48" spans="1:18">
      <c r="C48" s="85"/>
      <c r="F48" s="55"/>
      <c r="G48" s="55"/>
      <c r="H48" s="55"/>
      <c r="I48" s="55"/>
      <c r="J48" s="55"/>
      <c r="K48" s="55" t="s">
        <v>20</v>
      </c>
      <c r="L48" s="55"/>
      <c r="M48" s="55"/>
      <c r="R48" s="389" t="e">
        <f>MAX(0,'2023.06 to 2024.05 LC'!$F54-$Q$6)</f>
        <v>#VALUE!</v>
      </c>
    </row>
    <row r="49" spans="3:18">
      <c r="C49" s="85" t="s">
        <v>59</v>
      </c>
      <c r="F49" s="55"/>
      <c r="G49" s="55"/>
      <c r="H49" s="55"/>
      <c r="I49" s="55"/>
      <c r="J49" s="55"/>
      <c r="K49" s="123"/>
      <c r="L49" s="55"/>
      <c r="M49" s="55"/>
      <c r="R49" s="389" t="e">
        <f>MAX(0,'2023.06 to 2024.05 LC'!$F55-$Q$6)</f>
        <v>#VALUE!</v>
      </c>
    </row>
    <row r="50" spans="3:18">
      <c r="C50" s="85"/>
      <c r="F50" s="55"/>
      <c r="G50" s="55"/>
      <c r="H50" s="55"/>
      <c r="I50" s="55"/>
      <c r="J50" s="55"/>
      <c r="K50" s="124"/>
      <c r="L50" s="55"/>
      <c r="M50" s="55"/>
      <c r="Q50" s="102"/>
      <c r="R50" s="389" t="e">
        <f>MAX(0,'2023.06 to 2024.05 LC'!$F56-$Q$6)</f>
        <v>#VALUE!</v>
      </c>
    </row>
    <row r="51" spans="3:18">
      <c r="F51" s="55"/>
      <c r="G51" s="55"/>
      <c r="H51" s="55"/>
      <c r="I51" s="55"/>
      <c r="J51" s="55"/>
      <c r="K51" s="55"/>
      <c r="L51" s="55"/>
      <c r="M51" s="55"/>
      <c r="R51" s="389" t="e">
        <f>MAX(0,'2023.06 to 2024.05 LC'!$F57-$Q$6)</f>
        <v>#VALUE!</v>
      </c>
    </row>
    <row r="52" spans="3:18">
      <c r="F52" s="55"/>
      <c r="G52" s="55"/>
      <c r="H52" s="55"/>
      <c r="I52" s="55"/>
      <c r="J52" s="55"/>
      <c r="K52" s="55"/>
      <c r="L52" s="55"/>
      <c r="M52" s="55"/>
      <c r="R52" s="389" t="e">
        <f>MAX(0,'2023.06 to 2024.05 LC'!$F58-$Q$6)</f>
        <v>#VALUE!</v>
      </c>
    </row>
    <row r="53" spans="3:18">
      <c r="F53" s="55"/>
      <c r="G53" s="55"/>
      <c r="H53" s="55"/>
      <c r="I53" s="55"/>
      <c r="J53" s="55"/>
      <c r="K53" s="55"/>
      <c r="L53" s="55"/>
      <c r="M53" s="55"/>
      <c r="Q53" s="102"/>
      <c r="R53" s="389" t="e">
        <f>MAX(0,'2023.06 to 2024.05 LC'!$F59-$Q$6)</f>
        <v>#VALUE!</v>
      </c>
    </row>
    <row r="54" spans="3:18">
      <c r="F54" s="55"/>
      <c r="G54" s="55"/>
      <c r="H54" s="55"/>
      <c r="I54" s="55"/>
      <c r="J54" s="55"/>
      <c r="K54" s="55"/>
      <c r="L54" s="55"/>
      <c r="M54" s="55"/>
      <c r="R54" s="389" t="e">
        <f>MAX(0,'2023.06 to 2024.05 LC'!$F60-$Q$6)</f>
        <v>#VALUE!</v>
      </c>
    </row>
    <row r="55" spans="3:18">
      <c r="F55" s="55"/>
      <c r="G55" s="55"/>
      <c r="H55" s="55"/>
      <c r="I55" s="55"/>
      <c r="J55" s="55"/>
      <c r="K55" s="55"/>
      <c r="L55" s="55"/>
      <c r="M55" s="55"/>
      <c r="R55" s="389" t="e">
        <f>MAX(0,'2023.06 to 2024.05 LC'!$F61-$Q$6)</f>
        <v>#VALUE!</v>
      </c>
    </row>
    <row r="56" spans="3:18">
      <c r="F56" s="55"/>
      <c r="G56" s="55"/>
      <c r="H56" s="55"/>
      <c r="I56" s="55"/>
      <c r="J56" s="55"/>
      <c r="K56" s="55"/>
      <c r="L56" s="55"/>
      <c r="M56" s="55"/>
      <c r="Q56" s="102"/>
      <c r="R56" s="389" t="e">
        <f>MAX(0,'2023.06 to 2024.05 LC'!$F62-$Q$6)</f>
        <v>#VALUE!</v>
      </c>
    </row>
    <row r="57" spans="3:18">
      <c r="F57" s="55"/>
      <c r="G57" s="55"/>
      <c r="H57" s="55"/>
      <c r="I57" s="55"/>
      <c r="J57" s="55"/>
      <c r="K57" s="55"/>
      <c r="L57" s="55"/>
      <c r="M57" s="55"/>
      <c r="R57" s="389" t="e">
        <f>MAX(0,'2023.06 to 2024.05 LC'!$F63-$Q$6)</f>
        <v>#VALUE!</v>
      </c>
    </row>
    <row r="58" spans="3:18">
      <c r="F58" s="55"/>
      <c r="G58" s="55"/>
      <c r="H58" s="55"/>
      <c r="I58" s="55"/>
      <c r="J58" s="55"/>
      <c r="K58" s="55"/>
      <c r="L58" s="55"/>
      <c r="M58" s="55"/>
      <c r="R58" s="389" t="e">
        <f>MAX(0,'2023.06 to 2024.05 LC'!$F64-$Q$6)</f>
        <v>#VALUE!</v>
      </c>
    </row>
    <row r="59" spans="3:18">
      <c r="F59" s="55"/>
      <c r="G59" s="55"/>
      <c r="H59" s="55"/>
      <c r="I59" s="99"/>
      <c r="J59" s="99"/>
      <c r="K59" s="55"/>
      <c r="L59" s="55"/>
      <c r="M59" s="55"/>
      <c r="Q59" s="102"/>
      <c r="R59" s="389" t="e">
        <f>MAX(0,'2023.06 to 2024.05 LC'!$F65-$Q$6)</f>
        <v>#VALUE!</v>
      </c>
    </row>
    <row r="60" spans="3:18">
      <c r="F60" s="55"/>
      <c r="G60" s="55"/>
      <c r="H60" s="55"/>
      <c r="I60" s="99"/>
      <c r="J60" s="99"/>
      <c r="K60" s="55"/>
      <c r="L60" s="55"/>
      <c r="M60" s="55"/>
      <c r="R60" s="389" t="e">
        <f>MAX(0,'2023.06 to 2024.05 LC'!$F66-$Q$6)</f>
        <v>#VALUE!</v>
      </c>
    </row>
    <row r="61" spans="3:18">
      <c r="F61" s="55"/>
      <c r="G61" s="55"/>
      <c r="H61" s="55"/>
      <c r="I61" s="99"/>
      <c r="J61" s="99"/>
      <c r="K61" s="55"/>
      <c r="L61" s="55"/>
      <c r="M61" s="55"/>
      <c r="R61" s="389" t="e">
        <f>MAX(0,'2023.06 to 2024.05 LC'!$F67-$Q$6)</f>
        <v>#VALUE!</v>
      </c>
    </row>
    <row r="62" spans="3:18">
      <c r="F62" s="55"/>
      <c r="G62" s="55"/>
      <c r="H62" s="55"/>
      <c r="I62" s="55"/>
      <c r="J62" s="55"/>
      <c r="K62" s="55"/>
      <c r="L62" s="55"/>
      <c r="M62" s="55"/>
      <c r="Q62" s="102"/>
      <c r="R62" s="389" t="e">
        <f>MAX(0,'2023.06 to 2024.05 LC'!$F68-$Q$6)</f>
        <v>#VALUE!</v>
      </c>
    </row>
    <row r="63" spans="3:18">
      <c r="F63" s="55"/>
      <c r="G63" s="55"/>
      <c r="H63" s="55"/>
      <c r="I63" s="55"/>
      <c r="J63" s="55"/>
      <c r="K63" s="55"/>
      <c r="L63" s="55"/>
      <c r="M63" s="55"/>
      <c r="R63" s="389" t="e">
        <f>MAX(0,'2023.06 to 2024.05 LC'!$F69-$Q$6)</f>
        <v>#VALUE!</v>
      </c>
    </row>
    <row r="64" spans="3:18">
      <c r="F64" s="55"/>
      <c r="G64" s="55"/>
      <c r="H64" s="55"/>
      <c r="I64" s="55"/>
      <c r="J64" s="55"/>
      <c r="K64" s="99"/>
      <c r="L64" s="55"/>
      <c r="M64" s="55"/>
      <c r="R64" s="389" t="e">
        <f>MAX(0,'2023.06 to 2024.05 LC'!$F70-$Q$6)</f>
        <v>#VALUE!</v>
      </c>
    </row>
    <row r="65" spans="6:18">
      <c r="F65" s="55"/>
      <c r="G65" s="55"/>
      <c r="H65" s="55"/>
      <c r="I65" s="55"/>
      <c r="J65" s="55"/>
      <c r="K65" s="55"/>
      <c r="L65" s="55"/>
      <c r="M65" s="55"/>
      <c r="Q65" s="102"/>
      <c r="R65" s="389" t="e">
        <f>MAX(0,'2023.06 to 2024.05 LC'!$F71-$Q$6)</f>
        <v>#VALUE!</v>
      </c>
    </row>
    <row r="66" spans="6:18">
      <c r="F66" s="55"/>
      <c r="G66" s="55"/>
      <c r="H66" s="55"/>
      <c r="I66" s="55"/>
      <c r="J66" s="55"/>
      <c r="K66" s="55"/>
      <c r="L66" s="55"/>
      <c r="M66" s="55"/>
      <c r="R66" s="389" t="e">
        <f>MAX(0,'2023.06 to 2024.05 LC'!$F72-$Q$6)</f>
        <v>#VALUE!</v>
      </c>
    </row>
    <row r="67" spans="6:18">
      <c r="F67" s="55"/>
      <c r="G67" s="55"/>
      <c r="H67" s="55"/>
      <c r="I67" s="55"/>
      <c r="J67" s="55"/>
      <c r="K67" s="55"/>
      <c r="L67" s="55"/>
      <c r="M67" s="55"/>
      <c r="R67" s="389" t="e">
        <f>MAX(0,'2023.06 to 2024.05 LC'!$F73-$Q$6)</f>
        <v>#VALUE!</v>
      </c>
    </row>
    <row r="68" spans="6:18">
      <c r="F68" s="55"/>
      <c r="G68" s="55"/>
      <c r="H68" s="55"/>
      <c r="I68" s="55"/>
      <c r="J68" s="55"/>
      <c r="K68" s="55"/>
      <c r="L68" s="55"/>
      <c r="M68" s="55"/>
      <c r="Q68" s="102"/>
      <c r="R68" s="389" t="e">
        <f>MAX(0,'2023.06 to 2024.05 LC'!$F74-$Q$6)</f>
        <v>#VALUE!</v>
      </c>
    </row>
    <row r="69" spans="6:18">
      <c r="F69" s="55"/>
      <c r="G69" s="55"/>
      <c r="H69" s="55"/>
      <c r="I69" s="55"/>
      <c r="J69" s="55"/>
      <c r="K69" s="55"/>
      <c r="L69" s="55"/>
      <c r="M69" s="55"/>
      <c r="R69" s="389" t="e">
        <f>MAX(0,'2023.06 to 2024.05 LC'!$F75-$Q$6)</f>
        <v>#VALUE!</v>
      </c>
    </row>
    <row r="70" spans="6:18">
      <c r="F70" s="55"/>
      <c r="G70" s="55"/>
      <c r="H70" s="55"/>
      <c r="I70" s="55"/>
      <c r="J70" s="55"/>
      <c r="K70" s="55"/>
      <c r="L70" s="55"/>
      <c r="M70" s="55"/>
      <c r="R70" s="389" t="e">
        <f>MAX(0,'2023.06 to 2024.05 LC'!$F76-$Q$6)</f>
        <v>#VALUE!</v>
      </c>
    </row>
    <row r="71" spans="6:18">
      <c r="F71" s="55"/>
      <c r="G71" s="55"/>
      <c r="H71" s="55"/>
      <c r="I71" s="55"/>
      <c r="J71" s="55"/>
      <c r="K71" s="55"/>
      <c r="L71" s="55"/>
      <c r="M71" s="55"/>
      <c r="Q71" s="102"/>
      <c r="R71" s="389" t="e">
        <f>MAX(0,'2023.06 to 2024.05 LC'!$F77-$Q$6)</f>
        <v>#VALUE!</v>
      </c>
    </row>
    <row r="72" spans="6:18">
      <c r="F72" s="55"/>
      <c r="G72" s="55"/>
      <c r="H72" s="55"/>
      <c r="I72" s="55"/>
      <c r="J72" s="55"/>
      <c r="K72" s="55"/>
      <c r="L72" s="55"/>
      <c r="M72" s="55"/>
      <c r="R72" s="389" t="e">
        <f>MAX(0,'2023.06 to 2024.05 LC'!$F78-$Q$6)</f>
        <v>#VALUE!</v>
      </c>
    </row>
    <row r="73" spans="6:18">
      <c r="F73" s="55"/>
      <c r="G73" s="55"/>
      <c r="H73" s="55"/>
      <c r="I73" s="55"/>
      <c r="J73" s="55"/>
      <c r="K73" s="55"/>
      <c r="L73" s="55"/>
      <c r="M73" s="55"/>
      <c r="R73" s="389" t="e">
        <f>MAX(0,'2023.06 to 2024.05 LC'!$F79-$Q$6)</f>
        <v>#VALUE!</v>
      </c>
    </row>
    <row r="74" spans="6:18">
      <c r="F74" s="55"/>
      <c r="G74" s="55"/>
      <c r="H74" s="55"/>
      <c r="I74" s="55"/>
      <c r="J74" s="55"/>
      <c r="K74" s="55"/>
      <c r="L74" s="55"/>
      <c r="M74" s="55"/>
      <c r="Q74" s="102"/>
      <c r="R74" s="389" t="e">
        <f>MAX(0,'2023.06 to 2024.05 LC'!$F80-$Q$6)</f>
        <v>#VALUE!</v>
      </c>
    </row>
    <row r="75" spans="6:18">
      <c r="F75" s="55"/>
      <c r="G75" s="55"/>
      <c r="H75" s="55"/>
      <c r="I75" s="55"/>
      <c r="J75" s="55"/>
      <c r="K75" s="55"/>
      <c r="L75" s="55"/>
      <c r="M75" s="55"/>
      <c r="R75" s="389" t="e">
        <f>MAX(0,'2023.06 to 2024.05 LC'!$F81-$Q$6)</f>
        <v>#VALUE!</v>
      </c>
    </row>
    <row r="76" spans="6:18">
      <c r="F76" s="55"/>
      <c r="G76" s="55"/>
      <c r="H76" s="55"/>
      <c r="I76" s="55"/>
      <c r="J76" s="55"/>
      <c r="K76" s="55"/>
      <c r="L76" s="55"/>
      <c r="M76" s="55"/>
      <c r="R76" s="389" t="e">
        <f>MAX(0,'2023.06 to 2024.05 LC'!$F82-$Q$6)</f>
        <v>#VALUE!</v>
      </c>
    </row>
    <row r="77" spans="6:18">
      <c r="F77" s="55"/>
      <c r="G77" s="55"/>
      <c r="H77" s="55"/>
      <c r="I77" s="55"/>
      <c r="J77" s="55"/>
      <c r="K77" s="55"/>
      <c r="L77" s="55"/>
      <c r="M77" s="55"/>
      <c r="Q77" s="102"/>
      <c r="R77" s="389" t="e">
        <f>MAX(0,'2023.06 to 2024.05 LC'!$F83-$Q$6)</f>
        <v>#VALUE!</v>
      </c>
    </row>
    <row r="78" spans="6:18">
      <c r="F78" s="55"/>
      <c r="G78" s="55"/>
      <c r="H78" s="55"/>
      <c r="I78" s="55"/>
      <c r="J78" s="55"/>
      <c r="K78" s="55"/>
      <c r="L78" s="55"/>
      <c r="M78" s="55"/>
      <c r="R78" s="389" t="e">
        <f>MAX(0,'2023.06 to 2024.05 LC'!$F84-$Q$6)</f>
        <v>#VALUE!</v>
      </c>
    </row>
    <row r="79" spans="6:18">
      <c r="F79" s="55"/>
      <c r="G79" s="55"/>
      <c r="H79" s="55"/>
      <c r="I79" s="55"/>
      <c r="J79" s="55"/>
      <c r="K79" s="55"/>
      <c r="L79" s="55"/>
      <c r="M79" s="55"/>
      <c r="R79" s="389" t="e">
        <f>MAX(0,'2023.06 to 2024.05 LC'!$F85-$Q$6)</f>
        <v>#VALUE!</v>
      </c>
    </row>
    <row r="80" spans="6:18">
      <c r="F80" s="55"/>
      <c r="G80" s="55"/>
      <c r="H80" s="55"/>
      <c r="I80" s="55"/>
      <c r="J80" s="55"/>
      <c r="K80" s="55"/>
      <c r="L80" s="55"/>
      <c r="M80" s="55"/>
      <c r="Q80" s="102"/>
      <c r="R80" s="389" t="e">
        <f>MAX(0,'2023.06 to 2024.05 LC'!$F86-$Q$6)</f>
        <v>#VALUE!</v>
      </c>
    </row>
    <row r="81" spans="6:18">
      <c r="F81" s="55"/>
      <c r="G81" s="55"/>
      <c r="H81" s="55"/>
      <c r="I81" s="55"/>
      <c r="J81" s="55"/>
      <c r="K81" s="55"/>
      <c r="L81" s="55"/>
      <c r="M81" s="55"/>
      <c r="R81" s="389" t="e">
        <f>MAX(0,'2023.06 to 2024.05 LC'!$F87-$Q$6)</f>
        <v>#VALUE!</v>
      </c>
    </row>
    <row r="82" spans="6:18">
      <c r="H82" s="2"/>
      <c r="R82" s="389" t="e">
        <f>MAX(0,'2023.06 to 2024.05 LC'!$F88-$Q$6)</f>
        <v>#VALUE!</v>
      </c>
    </row>
    <row r="83" spans="6:18">
      <c r="H83" s="2"/>
      <c r="Q83" s="102"/>
      <c r="R83" s="389" t="e">
        <f>MAX(0,'2023.06 to 2024.05 LC'!$F89-$Q$6)</f>
        <v>#VALUE!</v>
      </c>
    </row>
    <row r="84" spans="6:18">
      <c r="H84" s="2"/>
      <c r="R84" s="389" t="e">
        <f>MAX(0,'2023.06 to 2024.05 LC'!$F90-$Q$6)</f>
        <v>#VALUE!</v>
      </c>
    </row>
    <row r="85" spans="6:18">
      <c r="H85" s="2"/>
      <c r="R85" s="389" t="e">
        <f>MAX(0,'2023.06 to 2024.05 LC'!$F91-$Q$6)</f>
        <v>#VALUE!</v>
      </c>
    </row>
    <row r="86" spans="6:18">
      <c r="H86" s="2"/>
      <c r="Q86" s="102"/>
      <c r="R86" s="389" t="e">
        <f>MAX(0,'2023.06 to 2024.05 LC'!$F92-$Q$6)</f>
        <v>#VALUE!</v>
      </c>
    </row>
    <row r="87" spans="6:18">
      <c r="H87" s="2"/>
      <c r="R87" s="389" t="e">
        <f>MAX(0,'2023.06 to 2024.05 LC'!$F93-$Q$6)</f>
        <v>#VALUE!</v>
      </c>
    </row>
    <row r="88" spans="6:18">
      <c r="H88" s="2"/>
      <c r="R88" s="389" t="e">
        <f>MAX(0,'2023.06 to 2024.05 LC'!$F94-$Q$6)</f>
        <v>#VALUE!</v>
      </c>
    </row>
    <row r="89" spans="6:18">
      <c r="H89" s="2"/>
      <c r="Q89" s="102"/>
      <c r="R89" s="389" t="e">
        <f>MAX(0,'2023.06 to 2024.05 LC'!$F95-$Q$6)</f>
        <v>#VALUE!</v>
      </c>
    </row>
    <row r="90" spans="6:18">
      <c r="H90" s="2"/>
      <c r="R90" s="389" t="e">
        <f>MAX(0,'2023.06 to 2024.05 LC'!$F96-$Q$6)</f>
        <v>#VALUE!</v>
      </c>
    </row>
    <row r="91" spans="6:18">
      <c r="H91" s="2"/>
      <c r="R91" s="389" t="e">
        <f>MAX(0,'2023.06 to 2024.05 LC'!$F97-$Q$6)</f>
        <v>#VALUE!</v>
      </c>
    </row>
    <row r="92" spans="6:18">
      <c r="H92" s="2"/>
      <c r="Q92" s="102"/>
      <c r="R92" s="389" t="e">
        <f>MAX(0,'2023.06 to 2024.05 LC'!$F98-$Q$6)</f>
        <v>#VALUE!</v>
      </c>
    </row>
    <row r="93" spans="6:18">
      <c r="H93" s="2"/>
      <c r="R93" s="389" t="e">
        <f>MAX(0,'2023.06 to 2024.05 LC'!$F99-$Q$6)</f>
        <v>#VALUE!</v>
      </c>
    </row>
    <row r="94" spans="6:18">
      <c r="H94" s="2"/>
      <c r="R94" s="389" t="e">
        <f>MAX(0,'2023.06 to 2024.05 LC'!$F100-$Q$6)</f>
        <v>#VALUE!</v>
      </c>
    </row>
    <row r="95" spans="6:18">
      <c r="H95" s="2"/>
      <c r="Q95" s="102"/>
      <c r="R95" s="389" t="e">
        <f>MAX(0,'2023.06 to 2024.05 LC'!$F101-$Q$6)</f>
        <v>#VALUE!</v>
      </c>
    </row>
    <row r="96" spans="6:18">
      <c r="H96" s="2"/>
      <c r="R96" s="389" t="e">
        <f>MAX(0,'2023.06 to 2024.05 LC'!$F102-$Q$6)</f>
        <v>#VALUE!</v>
      </c>
    </row>
    <row r="97" spans="8:18">
      <c r="H97" s="2"/>
      <c r="R97" s="389" t="e">
        <f>MAX(0,'2023.06 to 2024.05 LC'!$F103-$Q$6)</f>
        <v>#VALUE!</v>
      </c>
    </row>
    <row r="98" spans="8:18">
      <c r="H98" s="2"/>
      <c r="Q98" s="102"/>
      <c r="R98" s="389" t="e">
        <f>MAX(0,'2023.06 to 2024.05 LC'!$F104-$Q$6)</f>
        <v>#VALUE!</v>
      </c>
    </row>
    <row r="99" spans="8:18">
      <c r="H99" s="2"/>
      <c r="R99" s="389" t="e">
        <f>MAX(0,'2023.06 to 2024.05 LC'!$F105-$Q$6)</f>
        <v>#VALUE!</v>
      </c>
    </row>
    <row r="100" spans="8:18">
      <c r="H100" s="2"/>
      <c r="R100" s="389" t="e">
        <f>MAX(0,'2023.06 to 2024.05 LC'!$F106-$Q$6)</f>
        <v>#VALUE!</v>
      </c>
    </row>
    <row r="101" spans="8:18">
      <c r="H101" s="2"/>
      <c r="Q101" s="102"/>
      <c r="R101" s="389" t="e">
        <f>MAX(0,'2023.06 to 2024.05 LC'!$F107-$Q$6)</f>
        <v>#VALUE!</v>
      </c>
    </row>
    <row r="102" spans="8:18">
      <c r="H102" s="2"/>
      <c r="R102" s="389" t="e">
        <f>MAX(0,'2023.06 to 2024.05 LC'!$F108-$Q$6)</f>
        <v>#VALUE!</v>
      </c>
    </row>
    <row r="103" spans="8:18">
      <c r="H103" s="2"/>
      <c r="R103" s="389" t="e">
        <f>MAX(0,'2023.06 to 2024.05 LC'!$F109-$Q$6)</f>
        <v>#VALUE!</v>
      </c>
    </row>
    <row r="104" spans="8:18">
      <c r="H104" s="2"/>
      <c r="Q104" s="102"/>
      <c r="R104" s="389" t="e">
        <f>MAX(0,'2023.06 to 2024.05 LC'!$F110-$Q$6)</f>
        <v>#VALUE!</v>
      </c>
    </row>
    <row r="105" spans="8:18">
      <c r="H105" s="2"/>
      <c r="R105" s="389" t="e">
        <f>MAX(0,'2023.06 to 2024.05 LC'!$F111-$Q$6)</f>
        <v>#VALUE!</v>
      </c>
    </row>
    <row r="106" spans="8:18">
      <c r="H106" s="2"/>
      <c r="R106" s="389" t="e">
        <f>MAX(0,'2023.06 to 2024.05 LC'!$F112-$Q$6)</f>
        <v>#VALUE!</v>
      </c>
    </row>
    <row r="107" spans="8:18">
      <c r="H107" s="2"/>
      <c r="Q107" s="102"/>
      <c r="R107" s="389" t="e">
        <f>MAX(0,'2023.06 to 2024.05 LC'!$F113-$Q$6)</f>
        <v>#VALUE!</v>
      </c>
    </row>
    <row r="108" spans="8:18">
      <c r="H108" s="2"/>
      <c r="R108" s="389" t="e">
        <f>MAX(0,'2023.06 to 2024.05 LC'!$F114-$Q$6)</f>
        <v>#VALUE!</v>
      </c>
    </row>
    <row r="109" spans="8:18">
      <c r="H109" s="2"/>
      <c r="R109" s="389" t="e">
        <f>MAX(0,'2023.06 to 2024.05 LC'!$F115-$Q$6)</f>
        <v>#VALUE!</v>
      </c>
    </row>
    <row r="110" spans="8:18">
      <c r="H110" s="2"/>
      <c r="Q110" s="102"/>
      <c r="R110" s="389" t="e">
        <f>MAX(0,'2023.06 to 2024.05 LC'!$F116-$Q$6)</f>
        <v>#VALUE!</v>
      </c>
    </row>
    <row r="111" spans="8:18">
      <c r="H111" s="2"/>
      <c r="R111" s="389" t="e">
        <f>MAX(0,'2023.06 to 2024.05 LC'!$F117-$Q$6)</f>
        <v>#VALUE!</v>
      </c>
    </row>
    <row r="112" spans="8:18">
      <c r="H112" s="2"/>
      <c r="R112" s="389" t="e">
        <f>MAX(0,'2023.06 to 2024.05 LC'!$F118-$Q$6)</f>
        <v>#VALUE!</v>
      </c>
    </row>
    <row r="113" spans="8:18">
      <c r="H113" s="2"/>
      <c r="Q113" s="102"/>
      <c r="R113" s="389" t="e">
        <f>MAX(0,'2023.06 to 2024.05 LC'!$F119-$Q$6)</f>
        <v>#VALUE!</v>
      </c>
    </row>
    <row r="114" spans="8:18">
      <c r="H114" s="2"/>
      <c r="R114" s="389" t="e">
        <f>MAX(0,'2023.06 to 2024.05 LC'!$F120-$Q$6)</f>
        <v>#VALUE!</v>
      </c>
    </row>
    <row r="115" spans="8:18">
      <c r="H115" s="2"/>
      <c r="R115" s="389" t="e">
        <f>MAX(0,'2023.06 to 2024.05 LC'!$F121-$Q$6)</f>
        <v>#VALUE!</v>
      </c>
    </row>
    <row r="116" spans="8:18">
      <c r="H116" s="2"/>
      <c r="Q116" s="102"/>
      <c r="R116" s="389" t="e">
        <f>MAX(0,'2023.06 to 2024.05 LC'!$F122-$Q$6)</f>
        <v>#VALUE!</v>
      </c>
    </row>
    <row r="117" spans="8:18">
      <c r="H117" s="2"/>
      <c r="R117" s="389" t="e">
        <f>MAX(0,'2023.06 to 2024.05 LC'!$F123-$Q$6)</f>
        <v>#VALUE!</v>
      </c>
    </row>
    <row r="118" spans="8:18">
      <c r="H118" s="2"/>
      <c r="R118" s="389" t="e">
        <f>MAX(0,'2023.06 to 2024.05 LC'!$F124-$Q$6)</f>
        <v>#VALUE!</v>
      </c>
    </row>
    <row r="119" spans="8:18">
      <c r="H119" s="2"/>
      <c r="Q119" s="102"/>
      <c r="R119" s="389" t="e">
        <f>MAX(0,'2023.06 to 2024.05 LC'!$F125-$Q$6)</f>
        <v>#VALUE!</v>
      </c>
    </row>
    <row r="120" spans="8:18">
      <c r="H120" s="2"/>
      <c r="R120" s="389" t="e">
        <f>MAX(0,'2023.06 to 2024.05 LC'!$F126-$Q$6)</f>
        <v>#VALUE!</v>
      </c>
    </row>
    <row r="121" spans="8:18">
      <c r="H121" s="2"/>
      <c r="R121" s="389" t="e">
        <f>MAX(0,'2023.06 to 2024.05 LC'!$F127-$Q$6)</f>
        <v>#VALUE!</v>
      </c>
    </row>
    <row r="122" spans="8:18">
      <c r="H122" s="2"/>
      <c r="Q122" s="102"/>
      <c r="R122" s="389" t="e">
        <f>MAX(0,'2023.06 to 2024.05 LC'!$F128-$Q$6)</f>
        <v>#VALUE!</v>
      </c>
    </row>
    <row r="123" spans="8:18">
      <c r="H123" s="2"/>
      <c r="R123" s="389" t="e">
        <f>MAX(0,'2023.06 to 2024.05 LC'!$F129-$Q$6)</f>
        <v>#VALUE!</v>
      </c>
    </row>
    <row r="124" spans="8:18">
      <c r="H124" s="2"/>
      <c r="R124" s="389" t="e">
        <f>MAX(0,'2023.06 to 2024.05 LC'!$F130-$Q$6)</f>
        <v>#VALUE!</v>
      </c>
    </row>
    <row r="125" spans="8:18">
      <c r="H125" s="2"/>
      <c r="Q125" s="102"/>
      <c r="R125" s="389" t="e">
        <f>MAX(0,'2023.06 to 2024.05 LC'!$F131-$Q$6)</f>
        <v>#VALUE!</v>
      </c>
    </row>
    <row r="126" spans="8:18">
      <c r="H126" s="2"/>
      <c r="R126" s="389" t="e">
        <f>MAX(0,'2023.06 to 2024.05 LC'!$F132-$Q$6)</f>
        <v>#VALUE!</v>
      </c>
    </row>
    <row r="127" spans="8:18">
      <c r="H127" s="2"/>
      <c r="R127" s="389" t="e">
        <f>MAX(0,'2023.06 to 2024.05 LC'!$F133-$Q$6)</f>
        <v>#VALUE!</v>
      </c>
    </row>
    <row r="128" spans="8:18">
      <c r="H128" s="2"/>
      <c r="Q128" s="102"/>
      <c r="R128" s="389" t="e">
        <f>MAX(0,'2023.06 to 2024.05 LC'!$F134-$Q$6)</f>
        <v>#VALUE!</v>
      </c>
    </row>
    <row r="129" spans="8:18">
      <c r="H129" s="2"/>
      <c r="R129" s="389" t="e">
        <f>MAX(0,'2023.06 to 2024.05 LC'!$F135-$Q$6)</f>
        <v>#VALUE!</v>
      </c>
    </row>
    <row r="130" spans="8:18">
      <c r="H130" s="2"/>
      <c r="R130" s="389" t="e">
        <f>MAX(0,'2023.06 to 2024.05 LC'!$F136-$Q$6)</f>
        <v>#VALUE!</v>
      </c>
    </row>
    <row r="131" spans="8:18">
      <c r="H131" s="2"/>
      <c r="Q131" s="102"/>
      <c r="R131" s="389" t="e">
        <f>MAX(0,'2023.06 to 2024.05 LC'!$F137-$Q$6)</f>
        <v>#VALUE!</v>
      </c>
    </row>
    <row r="132" spans="8:18">
      <c r="H132" s="2"/>
      <c r="R132" s="389" t="e">
        <f>MAX(0,'2023.06 to 2024.05 LC'!$F138-$Q$6)</f>
        <v>#VALUE!</v>
      </c>
    </row>
    <row r="133" spans="8:18">
      <c r="H133" s="2"/>
      <c r="R133" s="389" t="e">
        <f>MAX(0,'2023.06 to 2024.05 LC'!$F139-$Q$6)</f>
        <v>#VALUE!</v>
      </c>
    </row>
    <row r="134" spans="8:18">
      <c r="H134" s="2"/>
      <c r="Q134" s="102"/>
      <c r="R134" s="389" t="e">
        <f>MAX(0,'2023.06 to 2024.05 LC'!$F140-$Q$6)</f>
        <v>#VALUE!</v>
      </c>
    </row>
    <row r="135" spans="8:18">
      <c r="H135" s="2"/>
      <c r="R135" s="389" t="e">
        <f>MAX(0,'2023.06 to 2024.05 LC'!$F141-$Q$6)</f>
        <v>#VALUE!</v>
      </c>
    </row>
    <row r="136" spans="8:18">
      <c r="H136" s="2"/>
      <c r="R136" s="389" t="e">
        <f>MAX(0,'2023.06 to 2024.05 LC'!$F142-$Q$6)</f>
        <v>#VALUE!</v>
      </c>
    </row>
    <row r="137" spans="8:18">
      <c r="H137" s="2"/>
      <c r="Q137" s="102"/>
      <c r="R137" s="389" t="e">
        <f>MAX(0,'2023.06 to 2024.05 LC'!$F143-$Q$6)</f>
        <v>#VALUE!</v>
      </c>
    </row>
    <row r="138" spans="8:18">
      <c r="H138" s="2"/>
      <c r="R138" s="389" t="e">
        <f>MAX(0,'2023.06 to 2024.05 LC'!$F144-$Q$6)</f>
        <v>#VALUE!</v>
      </c>
    </row>
    <row r="139" spans="8:18">
      <c r="H139" s="2"/>
      <c r="R139" s="389" t="e">
        <f>MAX(0,'2023.06 to 2024.05 LC'!$F145-$Q$6)</f>
        <v>#VALUE!</v>
      </c>
    </row>
    <row r="140" spans="8:18">
      <c r="H140" s="2"/>
      <c r="Q140" s="102"/>
      <c r="R140" s="389" t="e">
        <f>MAX(0,'2023.06 to 2024.05 LC'!$F146-$Q$6)</f>
        <v>#VALUE!</v>
      </c>
    </row>
    <row r="141" spans="8:18">
      <c r="H141" s="2"/>
      <c r="R141" s="389" t="e">
        <f>MAX(0,'2023.06 to 2024.05 LC'!$F147-$Q$6)</f>
        <v>#VALUE!</v>
      </c>
    </row>
    <row r="142" spans="8:18">
      <c r="H142" s="2"/>
      <c r="R142" s="389" t="e">
        <f>MAX(0,'2023.06 to 2024.05 LC'!$F148-$Q$6)</f>
        <v>#VALUE!</v>
      </c>
    </row>
    <row r="143" spans="8:18">
      <c r="H143" s="2"/>
      <c r="Q143" s="102"/>
      <c r="R143" s="389" t="e">
        <f>MAX(0,'2023.06 to 2024.05 LC'!$F149-$Q$6)</f>
        <v>#VALUE!</v>
      </c>
    </row>
    <row r="144" spans="8:18">
      <c r="H144" s="2"/>
      <c r="R144" s="389" t="e">
        <f>MAX(0,'2023.06 to 2024.05 LC'!$F150-$Q$6)</f>
        <v>#VALUE!</v>
      </c>
    </row>
    <row r="145" spans="8:18">
      <c r="H145" s="2"/>
      <c r="R145" s="389" t="e">
        <f>MAX(0,'2023.06 to 2024.05 LC'!$F151-$Q$6)</f>
        <v>#VALUE!</v>
      </c>
    </row>
    <row r="146" spans="8:18">
      <c r="H146" s="2"/>
      <c r="Q146" s="102"/>
      <c r="R146" s="389" t="e">
        <f>MAX(0,'2023.06 to 2024.05 LC'!$F152-$Q$6)</f>
        <v>#VALUE!</v>
      </c>
    </row>
    <row r="147" spans="8:18">
      <c r="H147" s="2"/>
      <c r="R147" s="389" t="e">
        <f>MAX(0,'2023.06 to 2024.05 LC'!$F153-$Q$6)</f>
        <v>#VALUE!</v>
      </c>
    </row>
    <row r="148" spans="8:18">
      <c r="H148" s="2"/>
      <c r="R148" s="389" t="e">
        <f>MAX(0,'2023.06 to 2024.05 LC'!$F154-$Q$6)</f>
        <v>#VALUE!</v>
      </c>
    </row>
    <row r="149" spans="8:18">
      <c r="H149" s="2"/>
      <c r="Q149" s="102"/>
      <c r="R149" s="389" t="e">
        <f>MAX(0,'2023.06 to 2024.05 LC'!$F155-$Q$6)</f>
        <v>#VALUE!</v>
      </c>
    </row>
    <row r="150" spans="8:18">
      <c r="H150" s="2"/>
      <c r="R150" s="389" t="e">
        <f>MAX(0,'2023.06 to 2024.05 LC'!$F156-$Q$6)</f>
        <v>#VALUE!</v>
      </c>
    </row>
    <row r="151" spans="8:18">
      <c r="H151" s="2"/>
      <c r="R151" s="389" t="e">
        <f>MAX(0,'2023.06 to 2024.05 LC'!$F157-$Q$6)</f>
        <v>#VALUE!</v>
      </c>
    </row>
    <row r="152" spans="8:18">
      <c r="H152" s="2"/>
      <c r="Q152" s="102"/>
      <c r="R152" s="389" t="e">
        <f>MAX(0,'2023.06 to 2024.05 LC'!$F158-$Q$6)</f>
        <v>#VALUE!</v>
      </c>
    </row>
    <row r="153" spans="8:18">
      <c r="H153" s="2"/>
      <c r="R153" s="389" t="e">
        <f>MAX(0,'2023.06 to 2024.05 LC'!$F159-$Q$6)</f>
        <v>#VALUE!</v>
      </c>
    </row>
    <row r="154" spans="8:18">
      <c r="H154" s="2"/>
      <c r="R154" s="389" t="e">
        <f>MAX(0,'2023.06 to 2024.05 LC'!$F160-$Q$6)</f>
        <v>#VALUE!</v>
      </c>
    </row>
    <row r="155" spans="8:18">
      <c r="H155" s="2"/>
      <c r="Q155" s="102"/>
      <c r="R155" s="389" t="e">
        <f>MAX(0,'2023.06 to 2024.05 LC'!$F161-$Q$6)</f>
        <v>#VALUE!</v>
      </c>
    </row>
    <row r="156" spans="8:18">
      <c r="H156" s="2"/>
      <c r="R156" s="389" t="e">
        <f>MAX(0,'2023.06 to 2024.05 LC'!$F162-$Q$6)</f>
        <v>#VALUE!</v>
      </c>
    </row>
    <row r="157" spans="8:18">
      <c r="H157" s="2"/>
      <c r="R157" s="389" t="e">
        <f>MAX(0,'2023.06 to 2024.05 LC'!$F163-$Q$6)</f>
        <v>#VALUE!</v>
      </c>
    </row>
    <row r="158" spans="8:18">
      <c r="H158" s="2"/>
      <c r="Q158" s="102"/>
      <c r="R158" s="389" t="e">
        <f>MAX(0,'2023.06 to 2024.05 LC'!$F164-$Q$6)</f>
        <v>#VALUE!</v>
      </c>
    </row>
    <row r="159" spans="8:18">
      <c r="H159" s="2"/>
      <c r="R159" s="389" t="e">
        <f>MAX(0,'2023.06 to 2024.05 LC'!$F165-$Q$6)</f>
        <v>#VALUE!</v>
      </c>
    </row>
    <row r="160" spans="8:18">
      <c r="H160" s="2"/>
      <c r="R160" s="389" t="e">
        <f>MAX(0,'2023.06 to 2024.05 LC'!$F166-$Q$6)</f>
        <v>#VALUE!</v>
      </c>
    </row>
    <row r="161" spans="8:18">
      <c r="H161" s="2"/>
      <c r="Q161" s="102"/>
      <c r="R161" s="389" t="e">
        <f>MAX(0,'2023.06 to 2024.05 LC'!$F167-$Q$6)</f>
        <v>#VALUE!</v>
      </c>
    </row>
    <row r="162" spans="8:18">
      <c r="H162" s="2"/>
      <c r="R162" s="389" t="e">
        <f>MAX(0,'2023.06 to 2024.05 LC'!$F168-$Q$6)</f>
        <v>#VALUE!</v>
      </c>
    </row>
    <row r="163" spans="8:18">
      <c r="H163" s="2"/>
      <c r="R163" s="389" t="e">
        <f>MAX(0,'2023.06 to 2024.05 LC'!$F169-$Q$6)</f>
        <v>#VALUE!</v>
      </c>
    </row>
    <row r="164" spans="8:18">
      <c r="H164" s="2"/>
      <c r="Q164" s="102"/>
      <c r="R164" s="389" t="e">
        <f>MAX(0,'2023.06 to 2024.05 LC'!$F170-$Q$6)</f>
        <v>#VALUE!</v>
      </c>
    </row>
    <row r="165" spans="8:18">
      <c r="H165" s="2"/>
      <c r="R165" s="389" t="e">
        <f>MAX(0,'2023.06 to 2024.05 LC'!$F171-$Q$6)</f>
        <v>#VALUE!</v>
      </c>
    </row>
    <row r="166" spans="8:18">
      <c r="H166" s="2"/>
      <c r="R166" s="389" t="e">
        <f>MAX(0,'2023.06 to 2024.05 LC'!$F172-$Q$6)</f>
        <v>#VALUE!</v>
      </c>
    </row>
    <row r="167" spans="8:18">
      <c r="H167" s="2"/>
      <c r="Q167" s="102"/>
      <c r="R167" s="389" t="e">
        <f>MAX(0,'2023.06 to 2024.05 LC'!$F173-$Q$6)</f>
        <v>#VALUE!</v>
      </c>
    </row>
    <row r="168" spans="8:18">
      <c r="H168" s="2"/>
      <c r="R168" s="389" t="e">
        <f>MAX(0,'2023.06 to 2024.05 LC'!$F174-$Q$6)</f>
        <v>#VALUE!</v>
      </c>
    </row>
    <row r="169" spans="8:18">
      <c r="H169" s="2"/>
      <c r="R169" s="389" t="e">
        <f>MAX(0,'2023.06 to 2024.05 LC'!$F175-$Q$6)</f>
        <v>#VALUE!</v>
      </c>
    </row>
    <row r="170" spans="8:18">
      <c r="H170" s="2"/>
      <c r="Q170" s="102"/>
      <c r="R170" s="389" t="e">
        <f>MAX(0,'2023.06 to 2024.05 LC'!$F176-$Q$6)</f>
        <v>#VALUE!</v>
      </c>
    </row>
    <row r="171" spans="8:18">
      <c r="H171" s="2"/>
      <c r="R171" s="389" t="e">
        <f>MAX(0,'2023.06 to 2024.05 LC'!$F177-$Q$6)</f>
        <v>#VALUE!</v>
      </c>
    </row>
    <row r="172" spans="8:18">
      <c r="H172" s="2"/>
      <c r="R172" s="389" t="e">
        <f>MAX(0,'2023.06 to 2024.05 LC'!$F178-$Q$6)</f>
        <v>#VALUE!</v>
      </c>
    </row>
    <row r="173" spans="8:18">
      <c r="H173" s="2"/>
      <c r="Q173" s="102"/>
      <c r="R173" s="389" t="e">
        <f>MAX(0,'2023.06 to 2024.05 LC'!$F179-$Q$6)</f>
        <v>#VALUE!</v>
      </c>
    </row>
    <row r="174" spans="8:18">
      <c r="H174" s="2"/>
      <c r="R174" s="389" t="e">
        <f>MAX(0,'2023.06 to 2024.05 LC'!$F180-$Q$6)</f>
        <v>#VALUE!</v>
      </c>
    </row>
    <row r="175" spans="8:18">
      <c r="H175" s="2"/>
      <c r="R175" s="389" t="e">
        <f>MAX(0,'2023.06 to 2024.05 LC'!$F181-$Q$6)</f>
        <v>#VALUE!</v>
      </c>
    </row>
    <row r="176" spans="8:18">
      <c r="H176" s="2"/>
      <c r="Q176" s="102"/>
      <c r="R176" s="389" t="e">
        <f>MAX(0,'2023.06 to 2024.05 LC'!$F182-$Q$6)</f>
        <v>#VALUE!</v>
      </c>
    </row>
    <row r="177" spans="8:18">
      <c r="H177" s="2"/>
      <c r="R177" s="389" t="e">
        <f>MAX(0,'2023.06 to 2024.05 LC'!$F183-$Q$6)</f>
        <v>#VALUE!</v>
      </c>
    </row>
    <row r="178" spans="8:18">
      <c r="H178" s="2"/>
      <c r="R178" s="389" t="e">
        <f>MAX(0,'2023.06 to 2024.05 LC'!$F184-$Q$6)</f>
        <v>#VALUE!</v>
      </c>
    </row>
    <row r="179" spans="8:18">
      <c r="H179" s="2"/>
      <c r="Q179" s="102"/>
      <c r="R179" s="389" t="e">
        <f>MAX(0,'2023.06 to 2024.05 LC'!$F185-$Q$6)</f>
        <v>#VALUE!</v>
      </c>
    </row>
    <row r="180" spans="8:18">
      <c r="H180" s="2"/>
      <c r="R180" s="389" t="e">
        <f>MAX(0,'2023.06 to 2024.05 LC'!$F186-$Q$6)</f>
        <v>#VALUE!</v>
      </c>
    </row>
    <row r="181" spans="8:18">
      <c r="H181" s="2"/>
      <c r="R181" s="389" t="e">
        <f>MAX(0,'2023.06 to 2024.05 LC'!$F187-$Q$6)</f>
        <v>#VALUE!</v>
      </c>
    </row>
    <row r="182" spans="8:18">
      <c r="H182" s="2"/>
      <c r="Q182" s="102"/>
      <c r="R182" s="389" t="e">
        <f>MAX(0,'2023.06 to 2024.05 LC'!$F188-$Q$6)</f>
        <v>#VALUE!</v>
      </c>
    </row>
    <row r="183" spans="8:18">
      <c r="H183" s="2"/>
      <c r="R183" s="389" t="e">
        <f>MAX(0,'2023.06 to 2024.05 LC'!$F189-$Q$6)</f>
        <v>#VALUE!</v>
      </c>
    </row>
    <row r="184" spans="8:18">
      <c r="H184" s="2"/>
      <c r="R184" s="389" t="e">
        <f>MAX(0,'2023.06 to 2024.05 LC'!$F190-$Q$6)</f>
        <v>#VALUE!</v>
      </c>
    </row>
    <row r="185" spans="8:18">
      <c r="H185" s="2"/>
      <c r="Q185" s="102"/>
      <c r="R185" s="389" t="e">
        <f>MAX(0,'2023.06 to 2024.05 LC'!$F191-$Q$6)</f>
        <v>#VALUE!</v>
      </c>
    </row>
    <row r="186" spans="8:18">
      <c r="H186" s="2"/>
      <c r="R186" s="389" t="e">
        <f>MAX(0,'2023.06 to 2024.05 LC'!$F192-$Q$6)</f>
        <v>#VALUE!</v>
      </c>
    </row>
    <row r="187" spans="8:18">
      <c r="H187" s="2"/>
      <c r="R187" s="389" t="e">
        <f>MAX(0,'2023.06 to 2024.05 LC'!$F193-$Q$6)</f>
        <v>#VALUE!</v>
      </c>
    </row>
    <row r="188" spans="8:18">
      <c r="H188" s="2"/>
      <c r="Q188" s="102"/>
      <c r="R188" s="389" t="e">
        <f>MAX(0,'2023.06 to 2024.05 LC'!$F194-$Q$6)</f>
        <v>#VALUE!</v>
      </c>
    </row>
    <row r="189" spans="8:18">
      <c r="H189" s="2"/>
      <c r="R189" s="389" t="e">
        <f>MAX(0,'2023.06 to 2024.05 LC'!$F195-$Q$6)</f>
        <v>#VALUE!</v>
      </c>
    </row>
    <row r="190" spans="8:18">
      <c r="H190" s="2"/>
      <c r="R190" s="389" t="e">
        <f>MAX(0,'2023.06 to 2024.05 LC'!$F196-$Q$6)</f>
        <v>#VALUE!</v>
      </c>
    </row>
    <row r="191" spans="8:18">
      <c r="H191" s="2"/>
      <c r="Q191" s="102"/>
      <c r="R191" s="389" t="e">
        <f>MAX(0,'2023.06 to 2024.05 LC'!$F197-$Q$6)</f>
        <v>#VALUE!</v>
      </c>
    </row>
    <row r="192" spans="8:18">
      <c r="H192" s="2"/>
      <c r="R192" s="389" t="e">
        <f>MAX(0,'2023.06 to 2024.05 LC'!$F198-$Q$6)</f>
        <v>#VALUE!</v>
      </c>
    </row>
    <row r="193" spans="8:18">
      <c r="H193" s="2"/>
      <c r="R193" s="389" t="e">
        <f>MAX(0,'2023.06 to 2024.05 LC'!$F199-$Q$6)</f>
        <v>#VALUE!</v>
      </c>
    </row>
    <row r="194" spans="8:18">
      <c r="H194" s="2"/>
      <c r="Q194" s="102"/>
      <c r="R194" s="389" t="e">
        <f>MAX(0,'2023.06 to 2024.05 LC'!$F200-$Q$6)</f>
        <v>#VALUE!</v>
      </c>
    </row>
    <row r="195" spans="8:18">
      <c r="H195" s="2"/>
      <c r="R195" s="389" t="e">
        <f>MAX(0,'2023.06 to 2024.05 LC'!$F201-$Q$6)</f>
        <v>#VALUE!</v>
      </c>
    </row>
    <row r="196" spans="8:18">
      <c r="H196" s="2"/>
      <c r="R196" s="389" t="e">
        <f>MAX(0,'2023.06 to 2024.05 LC'!$F202-$Q$6)</f>
        <v>#VALUE!</v>
      </c>
    </row>
    <row r="197" spans="8:18">
      <c r="H197" s="2"/>
      <c r="Q197" s="102"/>
      <c r="R197" s="389" t="e">
        <f>MAX(0,'2023.06 to 2024.05 LC'!$F203-$Q$6)</f>
        <v>#VALUE!</v>
      </c>
    </row>
    <row r="198" spans="8:18">
      <c r="H198" s="2"/>
      <c r="R198" s="389" t="e">
        <f>MAX(0,'2023.06 to 2024.05 LC'!$F204-$Q$6)</f>
        <v>#VALUE!</v>
      </c>
    </row>
    <row r="199" spans="8:18">
      <c r="H199" s="2"/>
      <c r="R199" s="389" t="e">
        <f>MAX(0,'2023.06 to 2024.05 LC'!$F205-$Q$6)</f>
        <v>#VALUE!</v>
      </c>
    </row>
    <row r="200" spans="8:18">
      <c r="H200" s="2"/>
      <c r="Q200" s="102"/>
      <c r="R200" s="389" t="e">
        <f>MAX(0,'2023.06 to 2024.05 LC'!$F206-$Q$6)</f>
        <v>#VALUE!</v>
      </c>
    </row>
    <row r="201" spans="8:18">
      <c r="H201" s="2"/>
      <c r="R201" s="389" t="e">
        <f>MAX(0,'2023.06 to 2024.05 LC'!$F207-$Q$6)</f>
        <v>#VALUE!</v>
      </c>
    </row>
    <row r="202" spans="8:18">
      <c r="H202" s="2"/>
      <c r="R202" s="389">
        <f>MAX(0,'2023.06 to 2024.05 LC'!$F208-$Q$6)</f>
        <v>0</v>
      </c>
    </row>
    <row r="203" spans="8:18">
      <c r="H203" s="2"/>
      <c r="Q203" s="102"/>
      <c r="R203" s="389">
        <f>MAX(0,'2023.06 to 2024.05 LC'!$F209-$Q$6)</f>
        <v>0</v>
      </c>
    </row>
    <row r="204" spans="8:18">
      <c r="H204" s="2"/>
      <c r="R204" s="389">
        <f>MAX(0,'2023.06 to 2024.05 LC'!$F210-$Q$6)</f>
        <v>0</v>
      </c>
    </row>
    <row r="205" spans="8:18">
      <c r="H205" s="2"/>
      <c r="R205" s="389">
        <f>MAX(0,'2023.06 to 2024.05 LC'!$F211-$Q$6)</f>
        <v>0</v>
      </c>
    </row>
    <row r="206" spans="8:18">
      <c r="H206" s="2"/>
      <c r="Q206" s="102"/>
      <c r="R206" s="389">
        <f>MAX(0,'2023.06 to 2024.05 LC'!$F212-$Q$6)</f>
        <v>0</v>
      </c>
    </row>
    <row r="207" spans="8:18">
      <c r="H207" s="2"/>
      <c r="R207" s="389">
        <f>MAX(0,'2023.06 to 2024.05 LC'!$F213-$Q$6)</f>
        <v>0</v>
      </c>
    </row>
    <row r="208" spans="8:18">
      <c r="H208" s="2"/>
      <c r="R208" s="389">
        <f>MAX(0,'2023.06 to 2024.05 LC'!$F214-$Q$6)</f>
        <v>0</v>
      </c>
    </row>
    <row r="209" spans="8:18">
      <c r="H209" s="2"/>
      <c r="Q209" s="102"/>
      <c r="R209" s="389">
        <f>MAX(0,'2023.06 to 2024.05 LC'!$F215-$Q$6)</f>
        <v>0</v>
      </c>
    </row>
    <row r="210" spans="8:18">
      <c r="H210" s="2"/>
      <c r="R210" s="389">
        <f>MAX(0,'2023.06 to 2024.05 LC'!$F216-$Q$6)</f>
        <v>0</v>
      </c>
    </row>
    <row r="211" spans="8:18">
      <c r="H211" s="2"/>
      <c r="R211" s="389">
        <f>MAX(0,'2023.06 to 2024.05 LC'!$F217-$Q$6)</f>
        <v>0</v>
      </c>
    </row>
    <row r="212" spans="8:18">
      <c r="H212" s="2"/>
      <c r="Q212" s="102"/>
      <c r="R212" s="389">
        <f>MAX(0,'2023.06 to 2024.05 LC'!$F218-$Q$6)</f>
        <v>0</v>
      </c>
    </row>
    <row r="213" spans="8:18">
      <c r="H213" s="2"/>
      <c r="R213" s="389">
        <f>MAX(0,'2023.06 to 2024.05 LC'!$F219-$Q$6)</f>
        <v>0</v>
      </c>
    </row>
    <row r="214" spans="8:18">
      <c r="H214" s="2"/>
      <c r="R214" s="389">
        <f>MAX(0,'2023.06 to 2024.05 LC'!$F220-$Q$6)</f>
        <v>0</v>
      </c>
    </row>
    <row r="215" spans="8:18">
      <c r="H215" s="2"/>
      <c r="Q215" s="102"/>
      <c r="R215" s="389">
        <f>MAX(0,'2023.06 to 2024.05 LC'!$F221-$Q$6)</f>
        <v>0</v>
      </c>
    </row>
    <row r="216" spans="8:18">
      <c r="H216" s="2"/>
      <c r="R216" s="389">
        <f>MAX(0,'2023.06 to 2024.05 LC'!$F222-$Q$6)</f>
        <v>0</v>
      </c>
    </row>
    <row r="217" spans="8:18">
      <c r="H217" s="2"/>
      <c r="R217" s="389">
        <f>MAX(0,'2023.06 to 2024.05 LC'!$F223-$Q$6)</f>
        <v>0</v>
      </c>
    </row>
    <row r="218" spans="8:18">
      <c r="H218" s="2"/>
      <c r="Q218" s="102"/>
      <c r="R218" s="389">
        <f>MAX(0,'2023.06 to 2024.05 LC'!$F224-$Q$6)</f>
        <v>0</v>
      </c>
    </row>
    <row r="219" spans="8:18">
      <c r="H219" s="2"/>
      <c r="R219" s="389">
        <f>MAX(0,'2023.06 to 2024.05 LC'!$F225-$Q$6)</f>
        <v>0</v>
      </c>
    </row>
    <row r="220" spans="8:18">
      <c r="H220" s="2"/>
      <c r="R220" s="389">
        <f>MAX(0,'2023.06 to 2024.05 LC'!$F226-$Q$6)</f>
        <v>0</v>
      </c>
    </row>
    <row r="221" spans="8:18">
      <c r="H221" s="2"/>
      <c r="Q221" s="102"/>
      <c r="R221" s="389">
        <f>MAX(0,'2023.06 to 2024.05 LC'!$F227-$Q$6)</f>
        <v>0</v>
      </c>
    </row>
    <row r="222" spans="8:18">
      <c r="H222" s="2"/>
      <c r="R222" s="389">
        <f>MAX(0,'2023.06 to 2024.05 LC'!$F228-$Q$6)</f>
        <v>0</v>
      </c>
    </row>
    <row r="223" spans="8:18">
      <c r="H223" s="2"/>
      <c r="R223" s="389">
        <f>MAX(0,'2023.06 to 2024.05 LC'!$F229-$Q$6)</f>
        <v>0</v>
      </c>
    </row>
    <row r="224" spans="8:18">
      <c r="H224" s="2"/>
      <c r="Q224" s="102"/>
      <c r="R224" s="389">
        <f>MAX(0,'2023.06 to 2024.05 LC'!$F230-$Q$6)</f>
        <v>0</v>
      </c>
    </row>
    <row r="225" spans="8:18" ht="15.75" thickBot="1">
      <c r="H225" s="2"/>
      <c r="R225" s="390">
        <f>MAX(0,'2023.06 to 2024.05 LC'!$F231-$Q$6)</f>
        <v>0</v>
      </c>
    </row>
    <row r="226" spans="8:18">
      <c r="H226" s="2"/>
      <c r="Q226" s="55" t="s">
        <v>60</v>
      </c>
      <c r="R226" s="64" t="e">
        <f>(SUM($R$6:$R$225)-$Q$7)</f>
        <v>#VALUE!</v>
      </c>
    </row>
    <row r="227" spans="8:18">
      <c r="H227" s="2"/>
      <c r="Q227" s="55" t="s">
        <v>61</v>
      </c>
      <c r="R227" s="55">
        <f>COUNTIF($R$6:$R$225,"&gt;0")</f>
        <v>0</v>
      </c>
    </row>
    <row r="228" spans="8:18">
      <c r="H228" s="2"/>
    </row>
    <row r="229" spans="8:18">
      <c r="H229" s="2"/>
    </row>
    <row r="230" spans="8:18">
      <c r="H230" s="2"/>
    </row>
    <row r="231" spans="8:18">
      <c r="H231" s="2"/>
    </row>
    <row r="232" spans="8:18">
      <c r="H232" s="2"/>
    </row>
    <row r="233" spans="8:18">
      <c r="H233" s="2"/>
    </row>
    <row r="234" spans="8:18">
      <c r="H234" s="2"/>
    </row>
    <row r="235" spans="8:18">
      <c r="H235" s="2"/>
    </row>
    <row r="236" spans="8:18">
      <c r="H236" s="2"/>
    </row>
    <row r="237" spans="8:18">
      <c r="H237" s="2"/>
    </row>
    <row r="238" spans="8:18">
      <c r="H238" s="2"/>
    </row>
    <row r="239" spans="8:18">
      <c r="H239" s="2"/>
    </row>
    <row r="240" spans="8:18">
      <c r="H240" s="2"/>
    </row>
    <row r="241" spans="8:8">
      <c r="H241" s="2"/>
    </row>
    <row r="242" spans="8:8">
      <c r="H242" s="2"/>
    </row>
    <row r="243" spans="8:8">
      <c r="H243" s="2"/>
    </row>
    <row r="244" spans="8:8">
      <c r="H244" s="2"/>
    </row>
    <row r="245" spans="8:8">
      <c r="H245" s="2"/>
    </row>
    <row r="246" spans="8:8">
      <c r="H246" s="2"/>
    </row>
    <row r="247" spans="8:8">
      <c r="H247" s="2"/>
    </row>
    <row r="248" spans="8:8">
      <c r="H248" s="2"/>
    </row>
    <row r="249" spans="8:8">
      <c r="H249" s="2"/>
    </row>
    <row r="250" spans="8:8">
      <c r="H250" s="2"/>
    </row>
    <row r="251" spans="8:8">
      <c r="H251" s="2"/>
    </row>
    <row r="252" spans="8:8">
      <c r="H252" s="2"/>
    </row>
    <row r="253" spans="8:8">
      <c r="H253" s="2"/>
    </row>
    <row r="254" spans="8:8">
      <c r="H254" s="2"/>
    </row>
    <row r="255" spans="8:8">
      <c r="H255" s="2"/>
    </row>
    <row r="256" spans="8:8">
      <c r="H256" s="2"/>
    </row>
    <row r="257" spans="8:8">
      <c r="H257" s="2"/>
    </row>
    <row r="258" spans="8:8">
      <c r="H258" s="2"/>
    </row>
    <row r="259" spans="8:8">
      <c r="H259" s="2"/>
    </row>
    <row r="260" spans="8:8">
      <c r="H260" s="2"/>
    </row>
    <row r="261" spans="8:8">
      <c r="H261" s="2"/>
    </row>
    <row r="262" spans="8:8">
      <c r="H262" s="2"/>
    </row>
    <row r="263" spans="8:8">
      <c r="H263" s="2"/>
    </row>
    <row r="264" spans="8:8">
      <c r="H264" s="2"/>
    </row>
    <row r="265" spans="8:8">
      <c r="H265" s="2"/>
    </row>
    <row r="266" spans="8:8">
      <c r="H266" s="2"/>
    </row>
    <row r="267" spans="8:8">
      <c r="H267" s="2"/>
    </row>
    <row r="268" spans="8:8">
      <c r="H268" s="2"/>
    </row>
    <row r="269" spans="8:8">
      <c r="H269" s="2"/>
    </row>
    <row r="270" spans="8:8">
      <c r="H270" s="2"/>
    </row>
    <row r="271" spans="8:8">
      <c r="H271" s="2"/>
    </row>
    <row r="272" spans="8:8">
      <c r="H272" s="2"/>
    </row>
    <row r="273" spans="8:8">
      <c r="H273" s="2"/>
    </row>
    <row r="274" spans="8:8">
      <c r="H274" s="2"/>
    </row>
    <row r="275" spans="8:8">
      <c r="H275" s="2"/>
    </row>
    <row r="276" spans="8:8">
      <c r="H276" s="2"/>
    </row>
    <row r="277" spans="8:8">
      <c r="H277" s="2"/>
    </row>
    <row r="278" spans="8:8">
      <c r="H278" s="2"/>
    </row>
    <row r="279" spans="8:8">
      <c r="H279" s="2"/>
    </row>
    <row r="280" spans="8:8">
      <c r="H280" s="2"/>
    </row>
    <row r="281" spans="8:8">
      <c r="H281" s="2"/>
    </row>
    <row r="282" spans="8:8">
      <c r="H282" s="2"/>
    </row>
    <row r="283" spans="8:8">
      <c r="H283" s="2"/>
    </row>
    <row r="284" spans="8:8">
      <c r="H284" s="2"/>
    </row>
    <row r="285" spans="8:8">
      <c r="H285" s="2"/>
    </row>
    <row r="286" spans="8:8">
      <c r="H286" s="2"/>
    </row>
    <row r="287" spans="8:8">
      <c r="H287" s="2"/>
    </row>
    <row r="288" spans="8:8">
      <c r="H288" s="2"/>
    </row>
    <row r="289" spans="8:8">
      <c r="H289" s="2"/>
    </row>
    <row r="290" spans="8:8">
      <c r="H290" s="2"/>
    </row>
    <row r="291" spans="8:8">
      <c r="H291" s="2"/>
    </row>
    <row r="292" spans="8:8">
      <c r="H292" s="2"/>
    </row>
    <row r="293" spans="8:8">
      <c r="H293" s="2"/>
    </row>
    <row r="294" spans="8:8">
      <c r="H294" s="2"/>
    </row>
    <row r="295" spans="8:8">
      <c r="H295" s="2"/>
    </row>
    <row r="296" spans="8:8">
      <c r="H296" s="2"/>
    </row>
    <row r="297" spans="8:8">
      <c r="H297" s="2"/>
    </row>
    <row r="298" spans="8:8">
      <c r="H298" s="2"/>
    </row>
    <row r="299" spans="8:8">
      <c r="H299" s="2"/>
    </row>
    <row r="300" spans="8:8">
      <c r="H300" s="2"/>
    </row>
    <row r="301" spans="8:8">
      <c r="H301" s="2"/>
    </row>
    <row r="302" spans="8:8">
      <c r="H302" s="2"/>
    </row>
    <row r="303" spans="8:8">
      <c r="H303" s="2"/>
    </row>
    <row r="304" spans="8:8">
      <c r="H304" s="2"/>
    </row>
    <row r="305" spans="8:8">
      <c r="H305" s="2"/>
    </row>
    <row r="306" spans="8:8">
      <c r="H306" s="2"/>
    </row>
    <row r="307" spans="8:8">
      <c r="H307" s="2"/>
    </row>
    <row r="308" spans="8:8">
      <c r="H308" s="2"/>
    </row>
    <row r="309" spans="8:8">
      <c r="H309" s="2"/>
    </row>
    <row r="310" spans="8:8">
      <c r="H310" s="2"/>
    </row>
    <row r="311" spans="8:8">
      <c r="H311" s="2"/>
    </row>
    <row r="312" spans="8:8">
      <c r="H312" s="2"/>
    </row>
    <row r="313" spans="8:8">
      <c r="H313" s="2"/>
    </row>
    <row r="314" spans="8:8">
      <c r="H314" s="2"/>
    </row>
    <row r="315" spans="8:8">
      <c r="H315" s="2"/>
    </row>
    <row r="316" spans="8:8">
      <c r="H316" s="2"/>
    </row>
    <row r="317" spans="8:8">
      <c r="H317" s="2"/>
    </row>
    <row r="318" spans="8:8">
      <c r="H318" s="2"/>
    </row>
    <row r="319" spans="8:8">
      <c r="H319" s="2"/>
    </row>
    <row r="320" spans="8:8">
      <c r="H320" s="2"/>
    </row>
    <row r="321" spans="8:8">
      <c r="H321" s="2"/>
    </row>
    <row r="322" spans="8:8">
      <c r="H322" s="2"/>
    </row>
    <row r="323" spans="8:8">
      <c r="H323" s="2"/>
    </row>
    <row r="324" spans="8:8">
      <c r="H324" s="2"/>
    </row>
    <row r="325" spans="8:8">
      <c r="H325" s="2"/>
    </row>
    <row r="326" spans="8:8">
      <c r="H326" s="2"/>
    </row>
    <row r="327" spans="8:8">
      <c r="H327" s="2"/>
    </row>
    <row r="328" spans="8:8">
      <c r="H328" s="2"/>
    </row>
    <row r="329" spans="8:8">
      <c r="H329" s="2"/>
    </row>
    <row r="330" spans="8:8">
      <c r="H330" s="2"/>
    </row>
    <row r="331" spans="8:8">
      <c r="H331" s="2"/>
    </row>
    <row r="332" spans="8:8">
      <c r="H332" s="2"/>
    </row>
    <row r="333" spans="8:8">
      <c r="H333" s="2"/>
    </row>
    <row r="334" spans="8:8">
      <c r="H334" s="2"/>
    </row>
    <row r="335" spans="8:8">
      <c r="H335" s="2"/>
    </row>
    <row r="336" spans="8:8">
      <c r="H336" s="2"/>
    </row>
    <row r="337" spans="8:8">
      <c r="H337" s="2"/>
    </row>
    <row r="338" spans="8:8">
      <c r="H338" s="2"/>
    </row>
    <row r="339" spans="8:8">
      <c r="H339" s="2"/>
    </row>
    <row r="340" spans="8:8">
      <c r="H340" s="2"/>
    </row>
    <row r="341" spans="8:8">
      <c r="H341" s="2"/>
    </row>
    <row r="342" spans="8:8">
      <c r="H342" s="2"/>
    </row>
    <row r="343" spans="8:8">
      <c r="H343" s="2"/>
    </row>
    <row r="344" spans="8:8">
      <c r="H344" s="2"/>
    </row>
    <row r="345" spans="8:8">
      <c r="H345" s="2"/>
    </row>
    <row r="346" spans="8:8">
      <c r="H346" s="2"/>
    </row>
    <row r="347" spans="8:8">
      <c r="H347" s="2"/>
    </row>
    <row r="348" spans="8:8">
      <c r="H348" s="2"/>
    </row>
    <row r="349" spans="8:8">
      <c r="H349" s="2"/>
    </row>
    <row r="350" spans="8:8">
      <c r="H350" s="2"/>
    </row>
    <row r="351" spans="8:8">
      <c r="H351" s="2"/>
    </row>
    <row r="352" spans="8:8">
      <c r="H352" s="2"/>
    </row>
    <row r="353" spans="8:8">
      <c r="H353" s="2"/>
    </row>
    <row r="354" spans="8:8">
      <c r="H354" s="2"/>
    </row>
    <row r="355" spans="8:8">
      <c r="H355" s="2"/>
    </row>
    <row r="356" spans="8:8">
      <c r="H356" s="2"/>
    </row>
    <row r="357" spans="8:8">
      <c r="H357" s="2"/>
    </row>
    <row r="358" spans="8:8">
      <c r="H358" s="2"/>
    </row>
    <row r="359" spans="8:8">
      <c r="H359" s="2"/>
    </row>
    <row r="360" spans="8:8">
      <c r="H360" s="2"/>
    </row>
    <row r="361" spans="8:8">
      <c r="H361" s="2"/>
    </row>
    <row r="362" spans="8:8">
      <c r="H362" s="2"/>
    </row>
    <row r="363" spans="8:8">
      <c r="H363" s="2"/>
    </row>
    <row r="364" spans="8:8">
      <c r="H364" s="2"/>
    </row>
    <row r="365" spans="8:8">
      <c r="H365" s="2"/>
    </row>
    <row r="366" spans="8:8">
      <c r="H366" s="2"/>
    </row>
    <row r="367" spans="8:8">
      <c r="H367" s="2"/>
    </row>
    <row r="368" spans="8:8">
      <c r="H368" s="2"/>
    </row>
    <row r="369" spans="8:8">
      <c r="H369" s="2"/>
    </row>
    <row r="370" spans="8:8">
      <c r="H370" s="2"/>
    </row>
    <row r="371" spans="8:8">
      <c r="H371" s="2"/>
    </row>
    <row r="372" spans="8:8">
      <c r="H372" s="2"/>
    </row>
    <row r="373" spans="8:8">
      <c r="H373" s="2"/>
    </row>
    <row r="374" spans="8:8">
      <c r="H374" s="2"/>
    </row>
    <row r="375" spans="8:8">
      <c r="H375" s="2"/>
    </row>
    <row r="376" spans="8:8">
      <c r="H376" s="2"/>
    </row>
    <row r="377" spans="8:8">
      <c r="H377" s="2"/>
    </row>
    <row r="378" spans="8:8">
      <c r="H378" s="2"/>
    </row>
    <row r="379" spans="8:8">
      <c r="H379" s="2"/>
    </row>
    <row r="380" spans="8:8">
      <c r="H380" s="2"/>
    </row>
    <row r="381" spans="8:8">
      <c r="H381" s="2"/>
    </row>
    <row r="382" spans="8:8">
      <c r="H382" s="2"/>
    </row>
    <row r="383" spans="8:8">
      <c r="H383" s="2"/>
    </row>
    <row r="384" spans="8:8">
      <c r="H384" s="2"/>
    </row>
    <row r="385" spans="8:8">
      <c r="H385" s="2"/>
    </row>
    <row r="386" spans="8:8">
      <c r="H386" s="2"/>
    </row>
    <row r="387" spans="8:8">
      <c r="H387" s="2"/>
    </row>
    <row r="388" spans="8:8">
      <c r="H388" s="2"/>
    </row>
    <row r="389" spans="8:8">
      <c r="H389" s="2"/>
    </row>
    <row r="390" spans="8:8">
      <c r="H390" s="2"/>
    </row>
    <row r="391" spans="8:8">
      <c r="H391" s="2"/>
    </row>
    <row r="392" spans="8:8">
      <c r="H392" s="2"/>
    </row>
    <row r="393" spans="8:8">
      <c r="H393" s="2"/>
    </row>
    <row r="394" spans="8:8">
      <c r="H394" s="2"/>
    </row>
    <row r="395" spans="8:8">
      <c r="H395" s="2"/>
    </row>
    <row r="396" spans="8:8">
      <c r="H396" s="2"/>
    </row>
    <row r="397" spans="8:8">
      <c r="H397" s="2"/>
    </row>
    <row r="398" spans="8:8">
      <c r="H398" s="2"/>
    </row>
    <row r="399" spans="8:8">
      <c r="H399" s="2"/>
    </row>
    <row r="400" spans="8:8">
      <c r="H400" s="2"/>
    </row>
    <row r="401" spans="8:8">
      <c r="H401" s="2"/>
    </row>
    <row r="402" spans="8:8">
      <c r="H402" s="2"/>
    </row>
    <row r="403" spans="8:8">
      <c r="H403" s="2"/>
    </row>
    <row r="404" spans="8:8">
      <c r="H404" s="2"/>
    </row>
    <row r="405" spans="8:8">
      <c r="H405" s="2"/>
    </row>
    <row r="406" spans="8:8">
      <c r="H406" s="2"/>
    </row>
    <row r="407" spans="8:8">
      <c r="H407" s="2"/>
    </row>
    <row r="408" spans="8:8">
      <c r="H408" s="2"/>
    </row>
    <row r="409" spans="8:8">
      <c r="H409" s="2"/>
    </row>
    <row r="410" spans="8:8">
      <c r="H410" s="2"/>
    </row>
    <row r="411" spans="8:8">
      <c r="H411" s="2"/>
    </row>
    <row r="412" spans="8:8">
      <c r="H412" s="2"/>
    </row>
    <row r="413" spans="8:8">
      <c r="H413" s="2"/>
    </row>
    <row r="414" spans="8:8">
      <c r="H414" s="2"/>
    </row>
    <row r="415" spans="8:8">
      <c r="H415" s="2"/>
    </row>
    <row r="416" spans="8:8">
      <c r="H416" s="2"/>
    </row>
    <row r="417" spans="8:8">
      <c r="H417" s="2"/>
    </row>
    <row r="418" spans="8:8">
      <c r="H418" s="2"/>
    </row>
    <row r="419" spans="8:8">
      <c r="H419" s="2"/>
    </row>
    <row r="420" spans="8:8">
      <c r="H420" s="2"/>
    </row>
    <row r="421" spans="8:8">
      <c r="H421" s="2"/>
    </row>
    <row r="422" spans="8:8">
      <c r="H422" s="2"/>
    </row>
    <row r="423" spans="8:8">
      <c r="H423" s="2"/>
    </row>
    <row r="424" spans="8:8">
      <c r="H424" s="2"/>
    </row>
    <row r="425" spans="8:8">
      <c r="H425" s="2"/>
    </row>
    <row r="426" spans="8:8">
      <c r="H426" s="2"/>
    </row>
    <row r="427" spans="8:8">
      <c r="H427" s="2"/>
    </row>
    <row r="428" spans="8:8">
      <c r="H428" s="2"/>
    </row>
    <row r="429" spans="8:8">
      <c r="H429" s="2"/>
    </row>
    <row r="430" spans="8:8">
      <c r="H430" s="2"/>
    </row>
    <row r="431" spans="8:8">
      <c r="H431" s="2"/>
    </row>
    <row r="432" spans="8:8">
      <c r="H432" s="2"/>
    </row>
    <row r="433" spans="8:8">
      <c r="H433" s="2"/>
    </row>
    <row r="434" spans="8:8">
      <c r="H434" s="2"/>
    </row>
    <row r="435" spans="8:8">
      <c r="H435" s="2"/>
    </row>
    <row r="436" spans="8:8">
      <c r="H436" s="2"/>
    </row>
    <row r="437" spans="8:8">
      <c r="H437" s="2"/>
    </row>
    <row r="438" spans="8:8">
      <c r="H438" s="2"/>
    </row>
    <row r="439" spans="8:8">
      <c r="H439" s="2"/>
    </row>
    <row r="440" spans="8:8">
      <c r="H440" s="2"/>
    </row>
    <row r="441" spans="8:8">
      <c r="H441" s="2"/>
    </row>
    <row r="442" spans="8:8">
      <c r="H442" s="2"/>
    </row>
    <row r="443" spans="8:8">
      <c r="H443" s="2"/>
    </row>
    <row r="444" spans="8:8">
      <c r="H444" s="2"/>
    </row>
    <row r="445" spans="8:8">
      <c r="H445" s="2"/>
    </row>
    <row r="446" spans="8:8">
      <c r="H446" s="2"/>
    </row>
    <row r="447" spans="8:8">
      <c r="H447" s="2"/>
    </row>
    <row r="448" spans="8:8">
      <c r="H448" s="2"/>
    </row>
    <row r="449" spans="8:8">
      <c r="H449" s="2"/>
    </row>
    <row r="450" spans="8:8">
      <c r="H450" s="2"/>
    </row>
    <row r="451" spans="8:8">
      <c r="H451" s="2"/>
    </row>
    <row r="452" spans="8:8">
      <c r="H452" s="2"/>
    </row>
    <row r="453" spans="8:8">
      <c r="H453" s="2"/>
    </row>
    <row r="454" spans="8:8">
      <c r="H454" s="2"/>
    </row>
    <row r="455" spans="8:8">
      <c r="H455" s="2"/>
    </row>
    <row r="456" spans="8:8">
      <c r="H456" s="2"/>
    </row>
    <row r="457" spans="8:8">
      <c r="H457" s="2"/>
    </row>
    <row r="458" spans="8:8">
      <c r="H458" s="2"/>
    </row>
    <row r="459" spans="8:8">
      <c r="H459" s="2"/>
    </row>
    <row r="460" spans="8:8">
      <c r="H460" s="2"/>
    </row>
    <row r="461" spans="8:8">
      <c r="H461" s="2"/>
    </row>
    <row r="462" spans="8:8">
      <c r="H462" s="2"/>
    </row>
    <row r="463" spans="8:8">
      <c r="H463" s="2"/>
    </row>
    <row r="464" spans="8:8">
      <c r="H464" s="2"/>
    </row>
    <row r="465" spans="8:8">
      <c r="H465" s="2"/>
    </row>
    <row r="466" spans="8:8">
      <c r="H466" s="2"/>
    </row>
    <row r="467" spans="8:8">
      <c r="H467" s="2"/>
    </row>
    <row r="468" spans="8:8">
      <c r="H468" s="2"/>
    </row>
    <row r="469" spans="8:8">
      <c r="H469" s="2"/>
    </row>
    <row r="470" spans="8:8">
      <c r="H470" s="2"/>
    </row>
    <row r="471" spans="8:8">
      <c r="H471" s="2"/>
    </row>
    <row r="472" spans="8:8">
      <c r="H472" s="2"/>
    </row>
    <row r="473" spans="8:8">
      <c r="H473" s="2"/>
    </row>
    <row r="474" spans="8:8">
      <c r="H474" s="2"/>
    </row>
    <row r="475" spans="8:8">
      <c r="H475" s="2"/>
    </row>
    <row r="476" spans="8:8">
      <c r="H476" s="2"/>
    </row>
    <row r="477" spans="8:8">
      <c r="H477" s="2"/>
    </row>
    <row r="478" spans="8:8">
      <c r="H478" s="2"/>
    </row>
    <row r="479" spans="8:8">
      <c r="H479" s="2"/>
    </row>
    <row r="480" spans="8:8">
      <c r="H480" s="2"/>
    </row>
    <row r="481" spans="8:8">
      <c r="H481" s="2"/>
    </row>
    <row r="482" spans="8:8">
      <c r="H482" s="2"/>
    </row>
    <row r="483" spans="8:8">
      <c r="H483" s="2"/>
    </row>
    <row r="484" spans="8:8">
      <c r="H484" s="2"/>
    </row>
    <row r="485" spans="8:8">
      <c r="H485" s="2"/>
    </row>
    <row r="486" spans="8:8">
      <c r="H486" s="2"/>
    </row>
    <row r="487" spans="8:8">
      <c r="H487" s="2"/>
    </row>
    <row r="488" spans="8:8">
      <c r="H488" s="2"/>
    </row>
    <row r="489" spans="8:8">
      <c r="H489" s="2"/>
    </row>
    <row r="490" spans="8:8">
      <c r="H490" s="2"/>
    </row>
    <row r="491" spans="8:8">
      <c r="H491" s="2"/>
    </row>
    <row r="492" spans="8:8">
      <c r="H492" s="2"/>
    </row>
    <row r="493" spans="8:8">
      <c r="H493" s="2"/>
    </row>
    <row r="494" spans="8:8">
      <c r="H494" s="2"/>
    </row>
    <row r="495" spans="8:8">
      <c r="H495" s="2"/>
    </row>
    <row r="496" spans="8:8">
      <c r="H496" s="2"/>
    </row>
    <row r="497" spans="8:8">
      <c r="H497" s="2"/>
    </row>
    <row r="498" spans="8:8">
      <c r="H498" s="2"/>
    </row>
    <row r="499" spans="8:8">
      <c r="H499" s="2"/>
    </row>
    <row r="500" spans="8:8">
      <c r="H500" s="2"/>
    </row>
    <row r="501" spans="8:8">
      <c r="H501" s="2"/>
    </row>
    <row r="502" spans="8:8">
      <c r="H502" s="2"/>
    </row>
    <row r="503" spans="8:8">
      <c r="H503" s="2"/>
    </row>
    <row r="504" spans="8:8">
      <c r="H504" s="2"/>
    </row>
    <row r="505" spans="8:8">
      <c r="H505" s="2"/>
    </row>
    <row r="506" spans="8:8">
      <c r="H506" s="2"/>
    </row>
    <row r="507" spans="8:8">
      <c r="H507" s="2"/>
    </row>
    <row r="508" spans="8:8">
      <c r="H508" s="2"/>
    </row>
    <row r="509" spans="8:8">
      <c r="H509" s="2"/>
    </row>
    <row r="510" spans="8:8">
      <c r="H510" s="2"/>
    </row>
    <row r="511" spans="8:8">
      <c r="H511" s="2"/>
    </row>
    <row r="512" spans="8:8">
      <c r="H512" s="2"/>
    </row>
    <row r="513" spans="8:8">
      <c r="H513" s="2"/>
    </row>
    <row r="514" spans="8:8">
      <c r="H514" s="2"/>
    </row>
    <row r="515" spans="8:8">
      <c r="H515" s="2"/>
    </row>
    <row r="516" spans="8:8">
      <c r="H516" s="2"/>
    </row>
    <row r="517" spans="8:8">
      <c r="H517" s="2"/>
    </row>
    <row r="518" spans="8:8">
      <c r="H518" s="2"/>
    </row>
    <row r="519" spans="8:8">
      <c r="H519" s="2"/>
    </row>
    <row r="520" spans="8:8">
      <c r="H520" s="2"/>
    </row>
    <row r="521" spans="8:8">
      <c r="H521" s="2"/>
    </row>
    <row r="522" spans="8:8">
      <c r="H522" s="2"/>
    </row>
    <row r="523" spans="8:8">
      <c r="H523" s="2"/>
    </row>
    <row r="524" spans="8:8">
      <c r="H524" s="2"/>
    </row>
    <row r="525" spans="8:8">
      <c r="H525" s="2"/>
    </row>
    <row r="526" spans="8:8">
      <c r="H526" s="2"/>
    </row>
    <row r="527" spans="8:8">
      <c r="H527" s="2"/>
    </row>
    <row r="528" spans="8:8">
      <c r="H528" s="2"/>
    </row>
    <row r="529" spans="8:8">
      <c r="H529" s="2"/>
    </row>
    <row r="530" spans="8:8">
      <c r="H530" s="2"/>
    </row>
    <row r="531" spans="8:8">
      <c r="H531" s="2"/>
    </row>
    <row r="532" spans="8:8">
      <c r="H532" s="2"/>
    </row>
    <row r="533" spans="8:8">
      <c r="H533" s="2"/>
    </row>
    <row r="534" spans="8:8">
      <c r="H534" s="2"/>
    </row>
    <row r="535" spans="8:8">
      <c r="H535" s="2"/>
    </row>
    <row r="536" spans="8:8">
      <c r="H536" s="2"/>
    </row>
    <row r="537" spans="8:8">
      <c r="H537" s="2"/>
    </row>
    <row r="538" spans="8:8">
      <c r="H538" s="2"/>
    </row>
    <row r="539" spans="8:8">
      <c r="H539" s="2"/>
    </row>
    <row r="540" spans="8:8">
      <c r="H540" s="2"/>
    </row>
    <row r="541" spans="8:8">
      <c r="H541" s="2"/>
    </row>
    <row r="542" spans="8:8">
      <c r="H542" s="2"/>
    </row>
    <row r="543" spans="8:8">
      <c r="H543" s="2"/>
    </row>
    <row r="544" spans="8:8">
      <c r="H544" s="2"/>
    </row>
    <row r="545" spans="8:8">
      <c r="H545" s="2"/>
    </row>
    <row r="546" spans="8:8">
      <c r="H546" s="2"/>
    </row>
    <row r="547" spans="8:8">
      <c r="H547" s="2"/>
    </row>
  </sheetData>
  <mergeCells count="3">
    <mergeCell ref="C2:E2"/>
    <mergeCell ref="C5:E5"/>
    <mergeCell ref="D15:E15"/>
  </mergeCells>
  <printOptions horizontalCentered="1"/>
  <pageMargins left="0.34" right="0.28999999999999998" top="0.38" bottom="0.43" header="0.25" footer="0"/>
  <pageSetup paperSize="17" scale="31" orientation="landscape" r:id="rId1"/>
  <headerFooter alignWithMargins="0">
    <oddFooter xml:space="preserve">&amp;L&amp;"Arial,Regular"           Davidson Benefits Planning - An Alera Group Company 
&amp;C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D8BC4-66C9-4F4C-9DFA-6024542705B3}">
  <dimension ref="A1:U547"/>
  <sheetViews>
    <sheetView showGridLines="0" topLeftCell="D15" zoomScale="70" zoomScaleNormal="70" zoomScaleSheetLayoutView="75" workbookViewId="0">
      <selection activeCell="G35" sqref="G35:H35"/>
    </sheetView>
  </sheetViews>
  <sheetFormatPr defaultColWidth="10.21875" defaultRowHeight="15"/>
  <cols>
    <col min="1" max="1" width="11.33203125" style="2" hidden="1" customWidth="1"/>
    <col min="2" max="2" width="12.109375" style="2" hidden="1" customWidth="1"/>
    <col min="3" max="3" width="9.109375" style="2" customWidth="1"/>
    <col min="4" max="4" width="81.88671875" style="2" customWidth="1"/>
    <col min="5" max="5" width="33.77734375" style="2" customWidth="1"/>
    <col min="6" max="6" width="2.6640625" style="2" customWidth="1"/>
    <col min="7" max="7" width="19.109375" style="2" customWidth="1"/>
    <col min="8" max="8" width="2.33203125" style="3" customWidth="1"/>
    <col min="9" max="9" width="19.109375" style="2" customWidth="1"/>
    <col min="10" max="10" width="2.33203125" style="2" customWidth="1"/>
    <col min="11" max="11" width="19.109375" style="2" customWidth="1"/>
    <col min="12" max="12" width="4.6640625" style="2" customWidth="1"/>
    <col min="13" max="14" width="17.77734375" style="2" customWidth="1"/>
    <col min="15" max="15" width="10.21875" style="2" hidden="1" customWidth="1"/>
    <col min="16" max="16" width="22.77734375" style="2" hidden="1" customWidth="1"/>
    <col min="17" max="18" width="22.33203125" style="55" hidden="1" customWidth="1"/>
    <col min="19" max="19" width="8.33203125" style="2" hidden="1" customWidth="1"/>
    <col min="20" max="21" width="10.21875" style="2" hidden="1" customWidth="1"/>
    <col min="22" max="22" width="10.21875" style="2" customWidth="1"/>
    <col min="23" max="242" width="10.21875" style="2"/>
    <col min="243" max="244" width="0" style="2" hidden="1" customWidth="1"/>
    <col min="245" max="245" width="7.6640625" style="2" customWidth="1"/>
    <col min="246" max="246" width="4.21875" style="2" customWidth="1"/>
    <col min="247" max="247" width="98" style="2" customWidth="1"/>
    <col min="248" max="248" width="16.109375" style="2" customWidth="1"/>
    <col min="249" max="249" width="1.88671875" style="2" customWidth="1"/>
    <col min="250" max="250" width="15.88671875" style="2" customWidth="1"/>
    <col min="251" max="251" width="1.88671875" style="2" customWidth="1"/>
    <col min="252" max="252" width="13.33203125" style="2" customWidth="1"/>
    <col min="253" max="253" width="1.88671875" style="2" customWidth="1"/>
    <col min="254" max="254" width="13.33203125" style="2" customWidth="1"/>
    <col min="255" max="255" width="2.33203125" style="2" customWidth="1"/>
    <col min="256" max="256" width="2.109375" style="2" customWidth="1"/>
    <col min="257" max="257" width="16.77734375" style="2" customWidth="1"/>
    <col min="258" max="258" width="13.6640625" style="2" customWidth="1"/>
    <col min="259" max="268" width="8.6640625" style="2" customWidth="1"/>
    <col min="269" max="269" width="20.77734375" style="2" customWidth="1"/>
    <col min="270" max="498" width="10.21875" style="2"/>
    <col min="499" max="500" width="0" style="2" hidden="1" customWidth="1"/>
    <col min="501" max="501" width="7.6640625" style="2" customWidth="1"/>
    <col min="502" max="502" width="4.21875" style="2" customWidth="1"/>
    <col min="503" max="503" width="98" style="2" customWidth="1"/>
    <col min="504" max="504" width="16.109375" style="2" customWidth="1"/>
    <col min="505" max="505" width="1.88671875" style="2" customWidth="1"/>
    <col min="506" max="506" width="15.88671875" style="2" customWidth="1"/>
    <col min="507" max="507" width="1.88671875" style="2" customWidth="1"/>
    <col min="508" max="508" width="13.33203125" style="2" customWidth="1"/>
    <col min="509" max="509" width="1.88671875" style="2" customWidth="1"/>
    <col min="510" max="510" width="13.33203125" style="2" customWidth="1"/>
    <col min="511" max="511" width="2.33203125" style="2" customWidth="1"/>
    <col min="512" max="512" width="2.109375" style="2" customWidth="1"/>
    <col min="513" max="513" width="16.77734375" style="2" customWidth="1"/>
    <col min="514" max="514" width="13.6640625" style="2" customWidth="1"/>
    <col min="515" max="524" width="8.6640625" style="2" customWidth="1"/>
    <col min="525" max="525" width="20.77734375" style="2" customWidth="1"/>
    <col min="526" max="754" width="10.21875" style="2"/>
    <col min="755" max="756" width="0" style="2" hidden="1" customWidth="1"/>
    <col min="757" max="757" width="7.6640625" style="2" customWidth="1"/>
    <col min="758" max="758" width="4.21875" style="2" customWidth="1"/>
    <col min="759" max="759" width="98" style="2" customWidth="1"/>
    <col min="760" max="760" width="16.109375" style="2" customWidth="1"/>
    <col min="761" max="761" width="1.88671875" style="2" customWidth="1"/>
    <col min="762" max="762" width="15.88671875" style="2" customWidth="1"/>
    <col min="763" max="763" width="1.88671875" style="2" customWidth="1"/>
    <col min="764" max="764" width="13.33203125" style="2" customWidth="1"/>
    <col min="765" max="765" width="1.88671875" style="2" customWidth="1"/>
    <col min="766" max="766" width="13.33203125" style="2" customWidth="1"/>
    <col min="767" max="767" width="2.33203125" style="2" customWidth="1"/>
    <col min="768" max="768" width="2.109375" style="2" customWidth="1"/>
    <col min="769" max="769" width="16.77734375" style="2" customWidth="1"/>
    <col min="770" max="770" width="13.6640625" style="2" customWidth="1"/>
    <col min="771" max="780" width="8.6640625" style="2" customWidth="1"/>
    <col min="781" max="781" width="20.77734375" style="2" customWidth="1"/>
    <col min="782" max="1010" width="10.21875" style="2"/>
    <col min="1011" max="1012" width="0" style="2" hidden="1" customWidth="1"/>
    <col min="1013" max="1013" width="7.6640625" style="2" customWidth="1"/>
    <col min="1014" max="1014" width="4.21875" style="2" customWidth="1"/>
    <col min="1015" max="1015" width="98" style="2" customWidth="1"/>
    <col min="1016" max="1016" width="16.109375" style="2" customWidth="1"/>
    <col min="1017" max="1017" width="1.88671875" style="2" customWidth="1"/>
    <col min="1018" max="1018" width="15.88671875" style="2" customWidth="1"/>
    <col min="1019" max="1019" width="1.88671875" style="2" customWidth="1"/>
    <col min="1020" max="1020" width="13.33203125" style="2" customWidth="1"/>
    <col min="1021" max="1021" width="1.88671875" style="2" customWidth="1"/>
    <col min="1022" max="1022" width="13.33203125" style="2" customWidth="1"/>
    <col min="1023" max="1023" width="2.33203125" style="2" customWidth="1"/>
    <col min="1024" max="1024" width="2.109375" style="2" customWidth="1"/>
    <col min="1025" max="1025" width="16.77734375" style="2" customWidth="1"/>
    <col min="1026" max="1026" width="13.6640625" style="2" customWidth="1"/>
    <col min="1027" max="1036" width="8.6640625" style="2" customWidth="1"/>
    <col min="1037" max="1037" width="20.77734375" style="2" customWidth="1"/>
    <col min="1038" max="1266" width="10.21875" style="2"/>
    <col min="1267" max="1268" width="0" style="2" hidden="1" customWidth="1"/>
    <col min="1269" max="1269" width="7.6640625" style="2" customWidth="1"/>
    <col min="1270" max="1270" width="4.21875" style="2" customWidth="1"/>
    <col min="1271" max="1271" width="98" style="2" customWidth="1"/>
    <col min="1272" max="1272" width="16.109375" style="2" customWidth="1"/>
    <col min="1273" max="1273" width="1.88671875" style="2" customWidth="1"/>
    <col min="1274" max="1274" width="15.88671875" style="2" customWidth="1"/>
    <col min="1275" max="1275" width="1.88671875" style="2" customWidth="1"/>
    <col min="1276" max="1276" width="13.33203125" style="2" customWidth="1"/>
    <col min="1277" max="1277" width="1.88671875" style="2" customWidth="1"/>
    <col min="1278" max="1278" width="13.33203125" style="2" customWidth="1"/>
    <col min="1279" max="1279" width="2.33203125" style="2" customWidth="1"/>
    <col min="1280" max="1280" width="2.109375" style="2" customWidth="1"/>
    <col min="1281" max="1281" width="16.77734375" style="2" customWidth="1"/>
    <col min="1282" max="1282" width="13.6640625" style="2" customWidth="1"/>
    <col min="1283" max="1292" width="8.6640625" style="2" customWidth="1"/>
    <col min="1293" max="1293" width="20.77734375" style="2" customWidth="1"/>
    <col min="1294" max="1522" width="10.21875" style="2"/>
    <col min="1523" max="1524" width="0" style="2" hidden="1" customWidth="1"/>
    <col min="1525" max="1525" width="7.6640625" style="2" customWidth="1"/>
    <col min="1526" max="1526" width="4.21875" style="2" customWidth="1"/>
    <col min="1527" max="1527" width="98" style="2" customWidth="1"/>
    <col min="1528" max="1528" width="16.109375" style="2" customWidth="1"/>
    <col min="1529" max="1529" width="1.88671875" style="2" customWidth="1"/>
    <col min="1530" max="1530" width="15.88671875" style="2" customWidth="1"/>
    <col min="1531" max="1531" width="1.88671875" style="2" customWidth="1"/>
    <col min="1532" max="1532" width="13.33203125" style="2" customWidth="1"/>
    <col min="1533" max="1533" width="1.88671875" style="2" customWidth="1"/>
    <col min="1534" max="1534" width="13.33203125" style="2" customWidth="1"/>
    <col min="1535" max="1535" width="2.33203125" style="2" customWidth="1"/>
    <col min="1536" max="1536" width="2.109375" style="2" customWidth="1"/>
    <col min="1537" max="1537" width="16.77734375" style="2" customWidth="1"/>
    <col min="1538" max="1538" width="13.6640625" style="2" customWidth="1"/>
    <col min="1539" max="1548" width="8.6640625" style="2" customWidth="1"/>
    <col min="1549" max="1549" width="20.77734375" style="2" customWidth="1"/>
    <col min="1550" max="1778" width="10.21875" style="2"/>
    <col min="1779" max="1780" width="0" style="2" hidden="1" customWidth="1"/>
    <col min="1781" max="1781" width="7.6640625" style="2" customWidth="1"/>
    <col min="1782" max="1782" width="4.21875" style="2" customWidth="1"/>
    <col min="1783" max="1783" width="98" style="2" customWidth="1"/>
    <col min="1784" max="1784" width="16.109375" style="2" customWidth="1"/>
    <col min="1785" max="1785" width="1.88671875" style="2" customWidth="1"/>
    <col min="1786" max="1786" width="15.88671875" style="2" customWidth="1"/>
    <col min="1787" max="1787" width="1.88671875" style="2" customWidth="1"/>
    <col min="1788" max="1788" width="13.33203125" style="2" customWidth="1"/>
    <col min="1789" max="1789" width="1.88671875" style="2" customWidth="1"/>
    <col min="1790" max="1790" width="13.33203125" style="2" customWidth="1"/>
    <col min="1791" max="1791" width="2.33203125" style="2" customWidth="1"/>
    <col min="1792" max="1792" width="2.109375" style="2" customWidth="1"/>
    <col min="1793" max="1793" width="16.77734375" style="2" customWidth="1"/>
    <col min="1794" max="1794" width="13.6640625" style="2" customWidth="1"/>
    <col min="1795" max="1804" width="8.6640625" style="2" customWidth="1"/>
    <col min="1805" max="1805" width="20.77734375" style="2" customWidth="1"/>
    <col min="1806" max="2034" width="10.21875" style="2"/>
    <col min="2035" max="2036" width="0" style="2" hidden="1" customWidth="1"/>
    <col min="2037" max="2037" width="7.6640625" style="2" customWidth="1"/>
    <col min="2038" max="2038" width="4.21875" style="2" customWidth="1"/>
    <col min="2039" max="2039" width="98" style="2" customWidth="1"/>
    <col min="2040" max="2040" width="16.109375" style="2" customWidth="1"/>
    <col min="2041" max="2041" width="1.88671875" style="2" customWidth="1"/>
    <col min="2042" max="2042" width="15.88671875" style="2" customWidth="1"/>
    <col min="2043" max="2043" width="1.88671875" style="2" customWidth="1"/>
    <col min="2044" max="2044" width="13.33203125" style="2" customWidth="1"/>
    <col min="2045" max="2045" width="1.88671875" style="2" customWidth="1"/>
    <col min="2046" max="2046" width="13.33203125" style="2" customWidth="1"/>
    <col min="2047" max="2047" width="2.33203125" style="2" customWidth="1"/>
    <col min="2048" max="2048" width="2.109375" style="2" customWidth="1"/>
    <col min="2049" max="2049" width="16.77734375" style="2" customWidth="1"/>
    <col min="2050" max="2050" width="13.6640625" style="2" customWidth="1"/>
    <col min="2051" max="2060" width="8.6640625" style="2" customWidth="1"/>
    <col min="2061" max="2061" width="20.77734375" style="2" customWidth="1"/>
    <col min="2062" max="2290" width="10.21875" style="2"/>
    <col min="2291" max="2292" width="0" style="2" hidden="1" customWidth="1"/>
    <col min="2293" max="2293" width="7.6640625" style="2" customWidth="1"/>
    <col min="2294" max="2294" width="4.21875" style="2" customWidth="1"/>
    <col min="2295" max="2295" width="98" style="2" customWidth="1"/>
    <col min="2296" max="2296" width="16.109375" style="2" customWidth="1"/>
    <col min="2297" max="2297" width="1.88671875" style="2" customWidth="1"/>
    <col min="2298" max="2298" width="15.88671875" style="2" customWidth="1"/>
    <col min="2299" max="2299" width="1.88671875" style="2" customWidth="1"/>
    <col min="2300" max="2300" width="13.33203125" style="2" customWidth="1"/>
    <col min="2301" max="2301" width="1.88671875" style="2" customWidth="1"/>
    <col min="2302" max="2302" width="13.33203125" style="2" customWidth="1"/>
    <col min="2303" max="2303" width="2.33203125" style="2" customWidth="1"/>
    <col min="2304" max="2304" width="2.109375" style="2" customWidth="1"/>
    <col min="2305" max="2305" width="16.77734375" style="2" customWidth="1"/>
    <col min="2306" max="2306" width="13.6640625" style="2" customWidth="1"/>
    <col min="2307" max="2316" width="8.6640625" style="2" customWidth="1"/>
    <col min="2317" max="2317" width="20.77734375" style="2" customWidth="1"/>
    <col min="2318" max="2546" width="10.21875" style="2"/>
    <col min="2547" max="2548" width="0" style="2" hidden="1" customWidth="1"/>
    <col min="2549" max="2549" width="7.6640625" style="2" customWidth="1"/>
    <col min="2550" max="2550" width="4.21875" style="2" customWidth="1"/>
    <col min="2551" max="2551" width="98" style="2" customWidth="1"/>
    <col min="2552" max="2552" width="16.109375" style="2" customWidth="1"/>
    <col min="2553" max="2553" width="1.88671875" style="2" customWidth="1"/>
    <col min="2554" max="2554" width="15.88671875" style="2" customWidth="1"/>
    <col min="2555" max="2555" width="1.88671875" style="2" customWidth="1"/>
    <col min="2556" max="2556" width="13.33203125" style="2" customWidth="1"/>
    <col min="2557" max="2557" width="1.88671875" style="2" customWidth="1"/>
    <col min="2558" max="2558" width="13.33203125" style="2" customWidth="1"/>
    <col min="2559" max="2559" width="2.33203125" style="2" customWidth="1"/>
    <col min="2560" max="2560" width="2.109375" style="2" customWidth="1"/>
    <col min="2561" max="2561" width="16.77734375" style="2" customWidth="1"/>
    <col min="2562" max="2562" width="13.6640625" style="2" customWidth="1"/>
    <col min="2563" max="2572" width="8.6640625" style="2" customWidth="1"/>
    <col min="2573" max="2573" width="20.77734375" style="2" customWidth="1"/>
    <col min="2574" max="2802" width="10.21875" style="2"/>
    <col min="2803" max="2804" width="0" style="2" hidden="1" customWidth="1"/>
    <col min="2805" max="2805" width="7.6640625" style="2" customWidth="1"/>
    <col min="2806" max="2806" width="4.21875" style="2" customWidth="1"/>
    <col min="2807" max="2807" width="98" style="2" customWidth="1"/>
    <col min="2808" max="2808" width="16.109375" style="2" customWidth="1"/>
    <col min="2809" max="2809" width="1.88671875" style="2" customWidth="1"/>
    <col min="2810" max="2810" width="15.88671875" style="2" customWidth="1"/>
    <col min="2811" max="2811" width="1.88671875" style="2" customWidth="1"/>
    <col min="2812" max="2812" width="13.33203125" style="2" customWidth="1"/>
    <col min="2813" max="2813" width="1.88671875" style="2" customWidth="1"/>
    <col min="2814" max="2814" width="13.33203125" style="2" customWidth="1"/>
    <col min="2815" max="2815" width="2.33203125" style="2" customWidth="1"/>
    <col min="2816" max="2816" width="2.109375" style="2" customWidth="1"/>
    <col min="2817" max="2817" width="16.77734375" style="2" customWidth="1"/>
    <col min="2818" max="2818" width="13.6640625" style="2" customWidth="1"/>
    <col min="2819" max="2828" width="8.6640625" style="2" customWidth="1"/>
    <col min="2829" max="2829" width="20.77734375" style="2" customWidth="1"/>
    <col min="2830" max="3058" width="10.21875" style="2"/>
    <col min="3059" max="3060" width="0" style="2" hidden="1" customWidth="1"/>
    <col min="3061" max="3061" width="7.6640625" style="2" customWidth="1"/>
    <col min="3062" max="3062" width="4.21875" style="2" customWidth="1"/>
    <col min="3063" max="3063" width="98" style="2" customWidth="1"/>
    <col min="3064" max="3064" width="16.109375" style="2" customWidth="1"/>
    <col min="3065" max="3065" width="1.88671875" style="2" customWidth="1"/>
    <col min="3066" max="3066" width="15.88671875" style="2" customWidth="1"/>
    <col min="3067" max="3067" width="1.88671875" style="2" customWidth="1"/>
    <col min="3068" max="3068" width="13.33203125" style="2" customWidth="1"/>
    <col min="3069" max="3069" width="1.88671875" style="2" customWidth="1"/>
    <col min="3070" max="3070" width="13.33203125" style="2" customWidth="1"/>
    <col min="3071" max="3071" width="2.33203125" style="2" customWidth="1"/>
    <col min="3072" max="3072" width="2.109375" style="2" customWidth="1"/>
    <col min="3073" max="3073" width="16.77734375" style="2" customWidth="1"/>
    <col min="3074" max="3074" width="13.6640625" style="2" customWidth="1"/>
    <col min="3075" max="3084" width="8.6640625" style="2" customWidth="1"/>
    <col min="3085" max="3085" width="20.77734375" style="2" customWidth="1"/>
    <col min="3086" max="3314" width="10.21875" style="2"/>
    <col min="3315" max="3316" width="0" style="2" hidden="1" customWidth="1"/>
    <col min="3317" max="3317" width="7.6640625" style="2" customWidth="1"/>
    <col min="3318" max="3318" width="4.21875" style="2" customWidth="1"/>
    <col min="3319" max="3319" width="98" style="2" customWidth="1"/>
    <col min="3320" max="3320" width="16.109375" style="2" customWidth="1"/>
    <col min="3321" max="3321" width="1.88671875" style="2" customWidth="1"/>
    <col min="3322" max="3322" width="15.88671875" style="2" customWidth="1"/>
    <col min="3323" max="3323" width="1.88671875" style="2" customWidth="1"/>
    <col min="3324" max="3324" width="13.33203125" style="2" customWidth="1"/>
    <col min="3325" max="3325" width="1.88671875" style="2" customWidth="1"/>
    <col min="3326" max="3326" width="13.33203125" style="2" customWidth="1"/>
    <col min="3327" max="3327" width="2.33203125" style="2" customWidth="1"/>
    <col min="3328" max="3328" width="2.109375" style="2" customWidth="1"/>
    <col min="3329" max="3329" width="16.77734375" style="2" customWidth="1"/>
    <col min="3330" max="3330" width="13.6640625" style="2" customWidth="1"/>
    <col min="3331" max="3340" width="8.6640625" style="2" customWidth="1"/>
    <col min="3341" max="3341" width="20.77734375" style="2" customWidth="1"/>
    <col min="3342" max="3570" width="10.21875" style="2"/>
    <col min="3571" max="3572" width="0" style="2" hidden="1" customWidth="1"/>
    <col min="3573" max="3573" width="7.6640625" style="2" customWidth="1"/>
    <col min="3574" max="3574" width="4.21875" style="2" customWidth="1"/>
    <col min="3575" max="3575" width="98" style="2" customWidth="1"/>
    <col min="3576" max="3576" width="16.109375" style="2" customWidth="1"/>
    <col min="3577" max="3577" width="1.88671875" style="2" customWidth="1"/>
    <col min="3578" max="3578" width="15.88671875" style="2" customWidth="1"/>
    <col min="3579" max="3579" width="1.88671875" style="2" customWidth="1"/>
    <col min="3580" max="3580" width="13.33203125" style="2" customWidth="1"/>
    <col min="3581" max="3581" width="1.88671875" style="2" customWidth="1"/>
    <col min="3582" max="3582" width="13.33203125" style="2" customWidth="1"/>
    <col min="3583" max="3583" width="2.33203125" style="2" customWidth="1"/>
    <col min="3584" max="3584" width="2.109375" style="2" customWidth="1"/>
    <col min="3585" max="3585" width="16.77734375" style="2" customWidth="1"/>
    <col min="3586" max="3586" width="13.6640625" style="2" customWidth="1"/>
    <col min="3587" max="3596" width="8.6640625" style="2" customWidth="1"/>
    <col min="3597" max="3597" width="20.77734375" style="2" customWidth="1"/>
    <col min="3598" max="3826" width="10.21875" style="2"/>
    <col min="3827" max="3828" width="0" style="2" hidden="1" customWidth="1"/>
    <col min="3829" max="3829" width="7.6640625" style="2" customWidth="1"/>
    <col min="3830" max="3830" width="4.21875" style="2" customWidth="1"/>
    <col min="3831" max="3831" width="98" style="2" customWidth="1"/>
    <col min="3832" max="3832" width="16.109375" style="2" customWidth="1"/>
    <col min="3833" max="3833" width="1.88671875" style="2" customWidth="1"/>
    <col min="3834" max="3834" width="15.88671875" style="2" customWidth="1"/>
    <col min="3835" max="3835" width="1.88671875" style="2" customWidth="1"/>
    <col min="3836" max="3836" width="13.33203125" style="2" customWidth="1"/>
    <col min="3837" max="3837" width="1.88671875" style="2" customWidth="1"/>
    <col min="3838" max="3838" width="13.33203125" style="2" customWidth="1"/>
    <col min="3839" max="3839" width="2.33203125" style="2" customWidth="1"/>
    <col min="3840" max="3840" width="2.109375" style="2" customWidth="1"/>
    <col min="3841" max="3841" width="16.77734375" style="2" customWidth="1"/>
    <col min="3842" max="3842" width="13.6640625" style="2" customWidth="1"/>
    <col min="3843" max="3852" width="8.6640625" style="2" customWidth="1"/>
    <col min="3853" max="3853" width="20.77734375" style="2" customWidth="1"/>
    <col min="3854" max="4082" width="10.21875" style="2"/>
    <col min="4083" max="4084" width="0" style="2" hidden="1" customWidth="1"/>
    <col min="4085" max="4085" width="7.6640625" style="2" customWidth="1"/>
    <col min="4086" max="4086" width="4.21875" style="2" customWidth="1"/>
    <col min="4087" max="4087" width="98" style="2" customWidth="1"/>
    <col min="4088" max="4088" width="16.109375" style="2" customWidth="1"/>
    <col min="4089" max="4089" width="1.88671875" style="2" customWidth="1"/>
    <col min="4090" max="4090" width="15.88671875" style="2" customWidth="1"/>
    <col min="4091" max="4091" width="1.88671875" style="2" customWidth="1"/>
    <col min="4092" max="4092" width="13.33203125" style="2" customWidth="1"/>
    <col min="4093" max="4093" width="1.88671875" style="2" customWidth="1"/>
    <col min="4094" max="4094" width="13.33203125" style="2" customWidth="1"/>
    <col min="4095" max="4095" width="2.33203125" style="2" customWidth="1"/>
    <col min="4096" max="4096" width="2.109375" style="2" customWidth="1"/>
    <col min="4097" max="4097" width="16.77734375" style="2" customWidth="1"/>
    <col min="4098" max="4098" width="13.6640625" style="2" customWidth="1"/>
    <col min="4099" max="4108" width="8.6640625" style="2" customWidth="1"/>
    <col min="4109" max="4109" width="20.77734375" style="2" customWidth="1"/>
    <col min="4110" max="4338" width="10.21875" style="2"/>
    <col min="4339" max="4340" width="0" style="2" hidden="1" customWidth="1"/>
    <col min="4341" max="4341" width="7.6640625" style="2" customWidth="1"/>
    <col min="4342" max="4342" width="4.21875" style="2" customWidth="1"/>
    <col min="4343" max="4343" width="98" style="2" customWidth="1"/>
    <col min="4344" max="4344" width="16.109375" style="2" customWidth="1"/>
    <col min="4345" max="4345" width="1.88671875" style="2" customWidth="1"/>
    <col min="4346" max="4346" width="15.88671875" style="2" customWidth="1"/>
    <col min="4347" max="4347" width="1.88671875" style="2" customWidth="1"/>
    <col min="4348" max="4348" width="13.33203125" style="2" customWidth="1"/>
    <col min="4349" max="4349" width="1.88671875" style="2" customWidth="1"/>
    <col min="4350" max="4350" width="13.33203125" style="2" customWidth="1"/>
    <col min="4351" max="4351" width="2.33203125" style="2" customWidth="1"/>
    <col min="4352" max="4352" width="2.109375" style="2" customWidth="1"/>
    <col min="4353" max="4353" width="16.77734375" style="2" customWidth="1"/>
    <col min="4354" max="4354" width="13.6640625" style="2" customWidth="1"/>
    <col min="4355" max="4364" width="8.6640625" style="2" customWidth="1"/>
    <col min="4365" max="4365" width="20.77734375" style="2" customWidth="1"/>
    <col min="4366" max="4594" width="10.21875" style="2"/>
    <col min="4595" max="4596" width="0" style="2" hidden="1" customWidth="1"/>
    <col min="4597" max="4597" width="7.6640625" style="2" customWidth="1"/>
    <col min="4598" max="4598" width="4.21875" style="2" customWidth="1"/>
    <col min="4599" max="4599" width="98" style="2" customWidth="1"/>
    <col min="4600" max="4600" width="16.109375" style="2" customWidth="1"/>
    <col min="4601" max="4601" width="1.88671875" style="2" customWidth="1"/>
    <col min="4602" max="4602" width="15.88671875" style="2" customWidth="1"/>
    <col min="4603" max="4603" width="1.88671875" style="2" customWidth="1"/>
    <col min="4604" max="4604" width="13.33203125" style="2" customWidth="1"/>
    <col min="4605" max="4605" width="1.88671875" style="2" customWidth="1"/>
    <col min="4606" max="4606" width="13.33203125" style="2" customWidth="1"/>
    <col min="4607" max="4607" width="2.33203125" style="2" customWidth="1"/>
    <col min="4608" max="4608" width="2.109375" style="2" customWidth="1"/>
    <col min="4609" max="4609" width="16.77734375" style="2" customWidth="1"/>
    <col min="4610" max="4610" width="13.6640625" style="2" customWidth="1"/>
    <col min="4611" max="4620" width="8.6640625" style="2" customWidth="1"/>
    <col min="4621" max="4621" width="20.77734375" style="2" customWidth="1"/>
    <col min="4622" max="4850" width="10.21875" style="2"/>
    <col min="4851" max="4852" width="0" style="2" hidden="1" customWidth="1"/>
    <col min="4853" max="4853" width="7.6640625" style="2" customWidth="1"/>
    <col min="4854" max="4854" width="4.21875" style="2" customWidth="1"/>
    <col min="4855" max="4855" width="98" style="2" customWidth="1"/>
    <col min="4856" max="4856" width="16.109375" style="2" customWidth="1"/>
    <col min="4857" max="4857" width="1.88671875" style="2" customWidth="1"/>
    <col min="4858" max="4858" width="15.88671875" style="2" customWidth="1"/>
    <col min="4859" max="4859" width="1.88671875" style="2" customWidth="1"/>
    <col min="4860" max="4860" width="13.33203125" style="2" customWidth="1"/>
    <col min="4861" max="4861" width="1.88671875" style="2" customWidth="1"/>
    <col min="4862" max="4862" width="13.33203125" style="2" customWidth="1"/>
    <col min="4863" max="4863" width="2.33203125" style="2" customWidth="1"/>
    <col min="4864" max="4864" width="2.109375" style="2" customWidth="1"/>
    <col min="4865" max="4865" width="16.77734375" style="2" customWidth="1"/>
    <col min="4866" max="4866" width="13.6640625" style="2" customWidth="1"/>
    <col min="4867" max="4876" width="8.6640625" style="2" customWidth="1"/>
    <col min="4877" max="4877" width="20.77734375" style="2" customWidth="1"/>
    <col min="4878" max="5106" width="10.21875" style="2"/>
    <col min="5107" max="5108" width="0" style="2" hidden="1" customWidth="1"/>
    <col min="5109" max="5109" width="7.6640625" style="2" customWidth="1"/>
    <col min="5110" max="5110" width="4.21875" style="2" customWidth="1"/>
    <col min="5111" max="5111" width="98" style="2" customWidth="1"/>
    <col min="5112" max="5112" width="16.109375" style="2" customWidth="1"/>
    <col min="5113" max="5113" width="1.88671875" style="2" customWidth="1"/>
    <col min="5114" max="5114" width="15.88671875" style="2" customWidth="1"/>
    <col min="5115" max="5115" width="1.88671875" style="2" customWidth="1"/>
    <col min="5116" max="5116" width="13.33203125" style="2" customWidth="1"/>
    <col min="5117" max="5117" width="1.88671875" style="2" customWidth="1"/>
    <col min="5118" max="5118" width="13.33203125" style="2" customWidth="1"/>
    <col min="5119" max="5119" width="2.33203125" style="2" customWidth="1"/>
    <col min="5120" max="5120" width="2.109375" style="2" customWidth="1"/>
    <col min="5121" max="5121" width="16.77734375" style="2" customWidth="1"/>
    <col min="5122" max="5122" width="13.6640625" style="2" customWidth="1"/>
    <col min="5123" max="5132" width="8.6640625" style="2" customWidth="1"/>
    <col min="5133" max="5133" width="20.77734375" style="2" customWidth="1"/>
    <col min="5134" max="5362" width="10.21875" style="2"/>
    <col min="5363" max="5364" width="0" style="2" hidden="1" customWidth="1"/>
    <col min="5365" max="5365" width="7.6640625" style="2" customWidth="1"/>
    <col min="5366" max="5366" width="4.21875" style="2" customWidth="1"/>
    <col min="5367" max="5367" width="98" style="2" customWidth="1"/>
    <col min="5368" max="5368" width="16.109375" style="2" customWidth="1"/>
    <col min="5369" max="5369" width="1.88671875" style="2" customWidth="1"/>
    <col min="5370" max="5370" width="15.88671875" style="2" customWidth="1"/>
    <col min="5371" max="5371" width="1.88671875" style="2" customWidth="1"/>
    <col min="5372" max="5372" width="13.33203125" style="2" customWidth="1"/>
    <col min="5373" max="5373" width="1.88671875" style="2" customWidth="1"/>
    <col min="5374" max="5374" width="13.33203125" style="2" customWidth="1"/>
    <col min="5375" max="5375" width="2.33203125" style="2" customWidth="1"/>
    <col min="5376" max="5376" width="2.109375" style="2" customWidth="1"/>
    <col min="5377" max="5377" width="16.77734375" style="2" customWidth="1"/>
    <col min="5378" max="5378" width="13.6640625" style="2" customWidth="1"/>
    <col min="5379" max="5388" width="8.6640625" style="2" customWidth="1"/>
    <col min="5389" max="5389" width="20.77734375" style="2" customWidth="1"/>
    <col min="5390" max="5618" width="10.21875" style="2"/>
    <col min="5619" max="5620" width="0" style="2" hidden="1" customWidth="1"/>
    <col min="5621" max="5621" width="7.6640625" style="2" customWidth="1"/>
    <col min="5622" max="5622" width="4.21875" style="2" customWidth="1"/>
    <col min="5623" max="5623" width="98" style="2" customWidth="1"/>
    <col min="5624" max="5624" width="16.109375" style="2" customWidth="1"/>
    <col min="5625" max="5625" width="1.88671875" style="2" customWidth="1"/>
    <col min="5626" max="5626" width="15.88671875" style="2" customWidth="1"/>
    <col min="5627" max="5627" width="1.88671875" style="2" customWidth="1"/>
    <col min="5628" max="5628" width="13.33203125" style="2" customWidth="1"/>
    <col min="5629" max="5629" width="1.88671875" style="2" customWidth="1"/>
    <col min="5630" max="5630" width="13.33203125" style="2" customWidth="1"/>
    <col min="5631" max="5631" width="2.33203125" style="2" customWidth="1"/>
    <col min="5632" max="5632" width="2.109375" style="2" customWidth="1"/>
    <col min="5633" max="5633" width="16.77734375" style="2" customWidth="1"/>
    <col min="5634" max="5634" width="13.6640625" style="2" customWidth="1"/>
    <col min="5635" max="5644" width="8.6640625" style="2" customWidth="1"/>
    <col min="5645" max="5645" width="20.77734375" style="2" customWidth="1"/>
    <col min="5646" max="5874" width="10.21875" style="2"/>
    <col min="5875" max="5876" width="0" style="2" hidden="1" customWidth="1"/>
    <col min="5877" max="5877" width="7.6640625" style="2" customWidth="1"/>
    <col min="5878" max="5878" width="4.21875" style="2" customWidth="1"/>
    <col min="5879" max="5879" width="98" style="2" customWidth="1"/>
    <col min="5880" max="5880" width="16.109375" style="2" customWidth="1"/>
    <col min="5881" max="5881" width="1.88671875" style="2" customWidth="1"/>
    <col min="5882" max="5882" width="15.88671875" style="2" customWidth="1"/>
    <col min="5883" max="5883" width="1.88671875" style="2" customWidth="1"/>
    <col min="5884" max="5884" width="13.33203125" style="2" customWidth="1"/>
    <col min="5885" max="5885" width="1.88671875" style="2" customWidth="1"/>
    <col min="5886" max="5886" width="13.33203125" style="2" customWidth="1"/>
    <col min="5887" max="5887" width="2.33203125" style="2" customWidth="1"/>
    <col min="5888" max="5888" width="2.109375" style="2" customWidth="1"/>
    <col min="5889" max="5889" width="16.77734375" style="2" customWidth="1"/>
    <col min="5890" max="5890" width="13.6640625" style="2" customWidth="1"/>
    <col min="5891" max="5900" width="8.6640625" style="2" customWidth="1"/>
    <col min="5901" max="5901" width="20.77734375" style="2" customWidth="1"/>
    <col min="5902" max="6130" width="10.21875" style="2"/>
    <col min="6131" max="6132" width="0" style="2" hidden="1" customWidth="1"/>
    <col min="6133" max="6133" width="7.6640625" style="2" customWidth="1"/>
    <col min="6134" max="6134" width="4.21875" style="2" customWidth="1"/>
    <col min="6135" max="6135" width="98" style="2" customWidth="1"/>
    <col min="6136" max="6136" width="16.109375" style="2" customWidth="1"/>
    <col min="6137" max="6137" width="1.88671875" style="2" customWidth="1"/>
    <col min="6138" max="6138" width="15.88671875" style="2" customWidth="1"/>
    <col min="6139" max="6139" width="1.88671875" style="2" customWidth="1"/>
    <col min="6140" max="6140" width="13.33203125" style="2" customWidth="1"/>
    <col min="6141" max="6141" width="1.88671875" style="2" customWidth="1"/>
    <col min="6142" max="6142" width="13.33203125" style="2" customWidth="1"/>
    <col min="6143" max="6143" width="2.33203125" style="2" customWidth="1"/>
    <col min="6144" max="6144" width="2.109375" style="2" customWidth="1"/>
    <col min="6145" max="6145" width="16.77734375" style="2" customWidth="1"/>
    <col min="6146" max="6146" width="13.6640625" style="2" customWidth="1"/>
    <col min="6147" max="6156" width="8.6640625" style="2" customWidth="1"/>
    <col min="6157" max="6157" width="20.77734375" style="2" customWidth="1"/>
    <col min="6158" max="6386" width="10.21875" style="2"/>
    <col min="6387" max="6388" width="0" style="2" hidden="1" customWidth="1"/>
    <col min="6389" max="6389" width="7.6640625" style="2" customWidth="1"/>
    <col min="6390" max="6390" width="4.21875" style="2" customWidth="1"/>
    <col min="6391" max="6391" width="98" style="2" customWidth="1"/>
    <col min="6392" max="6392" width="16.109375" style="2" customWidth="1"/>
    <col min="6393" max="6393" width="1.88671875" style="2" customWidth="1"/>
    <col min="6394" max="6394" width="15.88671875" style="2" customWidth="1"/>
    <col min="6395" max="6395" width="1.88671875" style="2" customWidth="1"/>
    <col min="6396" max="6396" width="13.33203125" style="2" customWidth="1"/>
    <col min="6397" max="6397" width="1.88671875" style="2" customWidth="1"/>
    <col min="6398" max="6398" width="13.33203125" style="2" customWidth="1"/>
    <col min="6399" max="6399" width="2.33203125" style="2" customWidth="1"/>
    <col min="6400" max="6400" width="2.109375" style="2" customWidth="1"/>
    <col min="6401" max="6401" width="16.77734375" style="2" customWidth="1"/>
    <col min="6402" max="6402" width="13.6640625" style="2" customWidth="1"/>
    <col min="6403" max="6412" width="8.6640625" style="2" customWidth="1"/>
    <col min="6413" max="6413" width="20.77734375" style="2" customWidth="1"/>
    <col min="6414" max="6642" width="10.21875" style="2"/>
    <col min="6643" max="6644" width="0" style="2" hidden="1" customWidth="1"/>
    <col min="6645" max="6645" width="7.6640625" style="2" customWidth="1"/>
    <col min="6646" max="6646" width="4.21875" style="2" customWidth="1"/>
    <col min="6647" max="6647" width="98" style="2" customWidth="1"/>
    <col min="6648" max="6648" width="16.109375" style="2" customWidth="1"/>
    <col min="6649" max="6649" width="1.88671875" style="2" customWidth="1"/>
    <col min="6650" max="6650" width="15.88671875" style="2" customWidth="1"/>
    <col min="6651" max="6651" width="1.88671875" style="2" customWidth="1"/>
    <col min="6652" max="6652" width="13.33203125" style="2" customWidth="1"/>
    <col min="6653" max="6653" width="1.88671875" style="2" customWidth="1"/>
    <col min="6654" max="6654" width="13.33203125" style="2" customWidth="1"/>
    <col min="6655" max="6655" width="2.33203125" style="2" customWidth="1"/>
    <col min="6656" max="6656" width="2.109375" style="2" customWidth="1"/>
    <col min="6657" max="6657" width="16.77734375" style="2" customWidth="1"/>
    <col min="6658" max="6658" width="13.6640625" style="2" customWidth="1"/>
    <col min="6659" max="6668" width="8.6640625" style="2" customWidth="1"/>
    <col min="6669" max="6669" width="20.77734375" style="2" customWidth="1"/>
    <col min="6670" max="6898" width="10.21875" style="2"/>
    <col min="6899" max="6900" width="0" style="2" hidden="1" customWidth="1"/>
    <col min="6901" max="6901" width="7.6640625" style="2" customWidth="1"/>
    <col min="6902" max="6902" width="4.21875" style="2" customWidth="1"/>
    <col min="6903" max="6903" width="98" style="2" customWidth="1"/>
    <col min="6904" max="6904" width="16.109375" style="2" customWidth="1"/>
    <col min="6905" max="6905" width="1.88671875" style="2" customWidth="1"/>
    <col min="6906" max="6906" width="15.88671875" style="2" customWidth="1"/>
    <col min="6907" max="6907" width="1.88671875" style="2" customWidth="1"/>
    <col min="6908" max="6908" width="13.33203125" style="2" customWidth="1"/>
    <col min="6909" max="6909" width="1.88671875" style="2" customWidth="1"/>
    <col min="6910" max="6910" width="13.33203125" style="2" customWidth="1"/>
    <col min="6911" max="6911" width="2.33203125" style="2" customWidth="1"/>
    <col min="6912" max="6912" width="2.109375" style="2" customWidth="1"/>
    <col min="6913" max="6913" width="16.77734375" style="2" customWidth="1"/>
    <col min="6914" max="6914" width="13.6640625" style="2" customWidth="1"/>
    <col min="6915" max="6924" width="8.6640625" style="2" customWidth="1"/>
    <col min="6925" max="6925" width="20.77734375" style="2" customWidth="1"/>
    <col min="6926" max="7154" width="10.21875" style="2"/>
    <col min="7155" max="7156" width="0" style="2" hidden="1" customWidth="1"/>
    <col min="7157" max="7157" width="7.6640625" style="2" customWidth="1"/>
    <col min="7158" max="7158" width="4.21875" style="2" customWidth="1"/>
    <col min="7159" max="7159" width="98" style="2" customWidth="1"/>
    <col min="7160" max="7160" width="16.109375" style="2" customWidth="1"/>
    <col min="7161" max="7161" width="1.88671875" style="2" customWidth="1"/>
    <col min="7162" max="7162" width="15.88671875" style="2" customWidth="1"/>
    <col min="7163" max="7163" width="1.88671875" style="2" customWidth="1"/>
    <col min="7164" max="7164" width="13.33203125" style="2" customWidth="1"/>
    <col min="7165" max="7165" width="1.88671875" style="2" customWidth="1"/>
    <col min="7166" max="7166" width="13.33203125" style="2" customWidth="1"/>
    <col min="7167" max="7167" width="2.33203125" style="2" customWidth="1"/>
    <col min="7168" max="7168" width="2.109375" style="2" customWidth="1"/>
    <col min="7169" max="7169" width="16.77734375" style="2" customWidth="1"/>
    <col min="7170" max="7170" width="13.6640625" style="2" customWidth="1"/>
    <col min="7171" max="7180" width="8.6640625" style="2" customWidth="1"/>
    <col min="7181" max="7181" width="20.77734375" style="2" customWidth="1"/>
    <col min="7182" max="7410" width="10.21875" style="2"/>
    <col min="7411" max="7412" width="0" style="2" hidden="1" customWidth="1"/>
    <col min="7413" max="7413" width="7.6640625" style="2" customWidth="1"/>
    <col min="7414" max="7414" width="4.21875" style="2" customWidth="1"/>
    <col min="7415" max="7415" width="98" style="2" customWidth="1"/>
    <col min="7416" max="7416" width="16.109375" style="2" customWidth="1"/>
    <col min="7417" max="7417" width="1.88671875" style="2" customWidth="1"/>
    <col min="7418" max="7418" width="15.88671875" style="2" customWidth="1"/>
    <col min="7419" max="7419" width="1.88671875" style="2" customWidth="1"/>
    <col min="7420" max="7420" width="13.33203125" style="2" customWidth="1"/>
    <col min="7421" max="7421" width="1.88671875" style="2" customWidth="1"/>
    <col min="7422" max="7422" width="13.33203125" style="2" customWidth="1"/>
    <col min="7423" max="7423" width="2.33203125" style="2" customWidth="1"/>
    <col min="7424" max="7424" width="2.109375" style="2" customWidth="1"/>
    <col min="7425" max="7425" width="16.77734375" style="2" customWidth="1"/>
    <col min="7426" max="7426" width="13.6640625" style="2" customWidth="1"/>
    <col min="7427" max="7436" width="8.6640625" style="2" customWidth="1"/>
    <col min="7437" max="7437" width="20.77734375" style="2" customWidth="1"/>
    <col min="7438" max="7666" width="10.21875" style="2"/>
    <col min="7667" max="7668" width="0" style="2" hidden="1" customWidth="1"/>
    <col min="7669" max="7669" width="7.6640625" style="2" customWidth="1"/>
    <col min="7670" max="7670" width="4.21875" style="2" customWidth="1"/>
    <col min="7671" max="7671" width="98" style="2" customWidth="1"/>
    <col min="7672" max="7672" width="16.109375" style="2" customWidth="1"/>
    <col min="7673" max="7673" width="1.88671875" style="2" customWidth="1"/>
    <col min="7674" max="7674" width="15.88671875" style="2" customWidth="1"/>
    <col min="7675" max="7675" width="1.88671875" style="2" customWidth="1"/>
    <col min="7676" max="7676" width="13.33203125" style="2" customWidth="1"/>
    <col min="7677" max="7677" width="1.88671875" style="2" customWidth="1"/>
    <col min="7678" max="7678" width="13.33203125" style="2" customWidth="1"/>
    <col min="7679" max="7679" width="2.33203125" style="2" customWidth="1"/>
    <col min="7680" max="7680" width="2.109375" style="2" customWidth="1"/>
    <col min="7681" max="7681" width="16.77734375" style="2" customWidth="1"/>
    <col min="7682" max="7682" width="13.6640625" style="2" customWidth="1"/>
    <col min="7683" max="7692" width="8.6640625" style="2" customWidth="1"/>
    <col min="7693" max="7693" width="20.77734375" style="2" customWidth="1"/>
    <col min="7694" max="7922" width="10.21875" style="2"/>
    <col min="7923" max="7924" width="0" style="2" hidden="1" customWidth="1"/>
    <col min="7925" max="7925" width="7.6640625" style="2" customWidth="1"/>
    <col min="7926" max="7926" width="4.21875" style="2" customWidth="1"/>
    <col min="7927" max="7927" width="98" style="2" customWidth="1"/>
    <col min="7928" max="7928" width="16.109375" style="2" customWidth="1"/>
    <col min="7929" max="7929" width="1.88671875" style="2" customWidth="1"/>
    <col min="7930" max="7930" width="15.88671875" style="2" customWidth="1"/>
    <col min="7931" max="7931" width="1.88671875" style="2" customWidth="1"/>
    <col min="7932" max="7932" width="13.33203125" style="2" customWidth="1"/>
    <col min="7933" max="7933" width="1.88671875" style="2" customWidth="1"/>
    <col min="7934" max="7934" width="13.33203125" style="2" customWidth="1"/>
    <col min="7935" max="7935" width="2.33203125" style="2" customWidth="1"/>
    <col min="7936" max="7936" width="2.109375" style="2" customWidth="1"/>
    <col min="7937" max="7937" width="16.77734375" style="2" customWidth="1"/>
    <col min="7938" max="7938" width="13.6640625" style="2" customWidth="1"/>
    <col min="7939" max="7948" width="8.6640625" style="2" customWidth="1"/>
    <col min="7949" max="7949" width="20.77734375" style="2" customWidth="1"/>
    <col min="7950" max="8178" width="10.21875" style="2"/>
    <col min="8179" max="8180" width="0" style="2" hidden="1" customWidth="1"/>
    <col min="8181" max="8181" width="7.6640625" style="2" customWidth="1"/>
    <col min="8182" max="8182" width="4.21875" style="2" customWidth="1"/>
    <col min="8183" max="8183" width="98" style="2" customWidth="1"/>
    <col min="8184" max="8184" width="16.109375" style="2" customWidth="1"/>
    <col min="8185" max="8185" width="1.88671875" style="2" customWidth="1"/>
    <col min="8186" max="8186" width="15.88671875" style="2" customWidth="1"/>
    <col min="8187" max="8187" width="1.88671875" style="2" customWidth="1"/>
    <col min="8188" max="8188" width="13.33203125" style="2" customWidth="1"/>
    <col min="8189" max="8189" width="1.88671875" style="2" customWidth="1"/>
    <col min="8190" max="8190" width="13.33203125" style="2" customWidth="1"/>
    <col min="8191" max="8191" width="2.33203125" style="2" customWidth="1"/>
    <col min="8192" max="8192" width="2.109375" style="2" customWidth="1"/>
    <col min="8193" max="8193" width="16.77734375" style="2" customWidth="1"/>
    <col min="8194" max="8194" width="13.6640625" style="2" customWidth="1"/>
    <col min="8195" max="8204" width="8.6640625" style="2" customWidth="1"/>
    <col min="8205" max="8205" width="20.77734375" style="2" customWidth="1"/>
    <col min="8206" max="8434" width="10.21875" style="2"/>
    <col min="8435" max="8436" width="0" style="2" hidden="1" customWidth="1"/>
    <col min="8437" max="8437" width="7.6640625" style="2" customWidth="1"/>
    <col min="8438" max="8438" width="4.21875" style="2" customWidth="1"/>
    <col min="8439" max="8439" width="98" style="2" customWidth="1"/>
    <col min="8440" max="8440" width="16.109375" style="2" customWidth="1"/>
    <col min="8441" max="8441" width="1.88671875" style="2" customWidth="1"/>
    <col min="8442" max="8442" width="15.88671875" style="2" customWidth="1"/>
    <col min="8443" max="8443" width="1.88671875" style="2" customWidth="1"/>
    <col min="8444" max="8444" width="13.33203125" style="2" customWidth="1"/>
    <col min="8445" max="8445" width="1.88671875" style="2" customWidth="1"/>
    <col min="8446" max="8446" width="13.33203125" style="2" customWidth="1"/>
    <col min="8447" max="8447" width="2.33203125" style="2" customWidth="1"/>
    <col min="8448" max="8448" width="2.109375" style="2" customWidth="1"/>
    <col min="8449" max="8449" width="16.77734375" style="2" customWidth="1"/>
    <col min="8450" max="8450" width="13.6640625" style="2" customWidth="1"/>
    <col min="8451" max="8460" width="8.6640625" style="2" customWidth="1"/>
    <col min="8461" max="8461" width="20.77734375" style="2" customWidth="1"/>
    <col min="8462" max="8690" width="10.21875" style="2"/>
    <col min="8691" max="8692" width="0" style="2" hidden="1" customWidth="1"/>
    <col min="8693" max="8693" width="7.6640625" style="2" customWidth="1"/>
    <col min="8694" max="8694" width="4.21875" style="2" customWidth="1"/>
    <col min="8695" max="8695" width="98" style="2" customWidth="1"/>
    <col min="8696" max="8696" width="16.109375" style="2" customWidth="1"/>
    <col min="8697" max="8697" width="1.88671875" style="2" customWidth="1"/>
    <col min="8698" max="8698" width="15.88671875" style="2" customWidth="1"/>
    <col min="8699" max="8699" width="1.88671875" style="2" customWidth="1"/>
    <col min="8700" max="8700" width="13.33203125" style="2" customWidth="1"/>
    <col min="8701" max="8701" width="1.88671875" style="2" customWidth="1"/>
    <col min="8702" max="8702" width="13.33203125" style="2" customWidth="1"/>
    <col min="8703" max="8703" width="2.33203125" style="2" customWidth="1"/>
    <col min="8704" max="8704" width="2.109375" style="2" customWidth="1"/>
    <col min="8705" max="8705" width="16.77734375" style="2" customWidth="1"/>
    <col min="8706" max="8706" width="13.6640625" style="2" customWidth="1"/>
    <col min="8707" max="8716" width="8.6640625" style="2" customWidth="1"/>
    <col min="8717" max="8717" width="20.77734375" style="2" customWidth="1"/>
    <col min="8718" max="8946" width="10.21875" style="2"/>
    <col min="8947" max="8948" width="0" style="2" hidden="1" customWidth="1"/>
    <col min="8949" max="8949" width="7.6640625" style="2" customWidth="1"/>
    <col min="8950" max="8950" width="4.21875" style="2" customWidth="1"/>
    <col min="8951" max="8951" width="98" style="2" customWidth="1"/>
    <col min="8952" max="8952" width="16.109375" style="2" customWidth="1"/>
    <col min="8953" max="8953" width="1.88671875" style="2" customWidth="1"/>
    <col min="8954" max="8954" width="15.88671875" style="2" customWidth="1"/>
    <col min="8955" max="8955" width="1.88671875" style="2" customWidth="1"/>
    <col min="8956" max="8956" width="13.33203125" style="2" customWidth="1"/>
    <col min="8957" max="8957" width="1.88671875" style="2" customWidth="1"/>
    <col min="8958" max="8958" width="13.33203125" style="2" customWidth="1"/>
    <col min="8959" max="8959" width="2.33203125" style="2" customWidth="1"/>
    <col min="8960" max="8960" width="2.109375" style="2" customWidth="1"/>
    <col min="8961" max="8961" width="16.77734375" style="2" customWidth="1"/>
    <col min="8962" max="8962" width="13.6640625" style="2" customWidth="1"/>
    <col min="8963" max="8972" width="8.6640625" style="2" customWidth="1"/>
    <col min="8973" max="8973" width="20.77734375" style="2" customWidth="1"/>
    <col min="8974" max="9202" width="10.21875" style="2"/>
    <col min="9203" max="9204" width="0" style="2" hidden="1" customWidth="1"/>
    <col min="9205" max="9205" width="7.6640625" style="2" customWidth="1"/>
    <col min="9206" max="9206" width="4.21875" style="2" customWidth="1"/>
    <col min="9207" max="9207" width="98" style="2" customWidth="1"/>
    <col min="9208" max="9208" width="16.109375" style="2" customWidth="1"/>
    <col min="9209" max="9209" width="1.88671875" style="2" customWidth="1"/>
    <col min="9210" max="9210" width="15.88671875" style="2" customWidth="1"/>
    <col min="9211" max="9211" width="1.88671875" style="2" customWidth="1"/>
    <col min="9212" max="9212" width="13.33203125" style="2" customWidth="1"/>
    <col min="9213" max="9213" width="1.88671875" style="2" customWidth="1"/>
    <col min="9214" max="9214" width="13.33203125" style="2" customWidth="1"/>
    <col min="9215" max="9215" width="2.33203125" style="2" customWidth="1"/>
    <col min="9216" max="9216" width="2.109375" style="2" customWidth="1"/>
    <col min="9217" max="9217" width="16.77734375" style="2" customWidth="1"/>
    <col min="9218" max="9218" width="13.6640625" style="2" customWidth="1"/>
    <col min="9219" max="9228" width="8.6640625" style="2" customWidth="1"/>
    <col min="9229" max="9229" width="20.77734375" style="2" customWidth="1"/>
    <col min="9230" max="9458" width="10.21875" style="2"/>
    <col min="9459" max="9460" width="0" style="2" hidden="1" customWidth="1"/>
    <col min="9461" max="9461" width="7.6640625" style="2" customWidth="1"/>
    <col min="9462" max="9462" width="4.21875" style="2" customWidth="1"/>
    <col min="9463" max="9463" width="98" style="2" customWidth="1"/>
    <col min="9464" max="9464" width="16.109375" style="2" customWidth="1"/>
    <col min="9465" max="9465" width="1.88671875" style="2" customWidth="1"/>
    <col min="9466" max="9466" width="15.88671875" style="2" customWidth="1"/>
    <col min="9467" max="9467" width="1.88671875" style="2" customWidth="1"/>
    <col min="9468" max="9468" width="13.33203125" style="2" customWidth="1"/>
    <col min="9469" max="9469" width="1.88671875" style="2" customWidth="1"/>
    <col min="9470" max="9470" width="13.33203125" style="2" customWidth="1"/>
    <col min="9471" max="9471" width="2.33203125" style="2" customWidth="1"/>
    <col min="9472" max="9472" width="2.109375" style="2" customWidth="1"/>
    <col min="9473" max="9473" width="16.77734375" style="2" customWidth="1"/>
    <col min="9474" max="9474" width="13.6640625" style="2" customWidth="1"/>
    <col min="9475" max="9484" width="8.6640625" style="2" customWidth="1"/>
    <col min="9485" max="9485" width="20.77734375" style="2" customWidth="1"/>
    <col min="9486" max="9714" width="10.21875" style="2"/>
    <col min="9715" max="9716" width="0" style="2" hidden="1" customWidth="1"/>
    <col min="9717" max="9717" width="7.6640625" style="2" customWidth="1"/>
    <col min="9718" max="9718" width="4.21875" style="2" customWidth="1"/>
    <col min="9719" max="9719" width="98" style="2" customWidth="1"/>
    <col min="9720" max="9720" width="16.109375" style="2" customWidth="1"/>
    <col min="9721" max="9721" width="1.88671875" style="2" customWidth="1"/>
    <col min="9722" max="9722" width="15.88671875" style="2" customWidth="1"/>
    <col min="9723" max="9723" width="1.88671875" style="2" customWidth="1"/>
    <col min="9724" max="9724" width="13.33203125" style="2" customWidth="1"/>
    <col min="9725" max="9725" width="1.88671875" style="2" customWidth="1"/>
    <col min="9726" max="9726" width="13.33203125" style="2" customWidth="1"/>
    <col min="9727" max="9727" width="2.33203125" style="2" customWidth="1"/>
    <col min="9728" max="9728" width="2.109375" style="2" customWidth="1"/>
    <col min="9729" max="9729" width="16.77734375" style="2" customWidth="1"/>
    <col min="9730" max="9730" width="13.6640625" style="2" customWidth="1"/>
    <col min="9731" max="9740" width="8.6640625" style="2" customWidth="1"/>
    <col min="9741" max="9741" width="20.77734375" style="2" customWidth="1"/>
    <col min="9742" max="9970" width="10.21875" style="2"/>
    <col min="9971" max="9972" width="0" style="2" hidden="1" customWidth="1"/>
    <col min="9973" max="9973" width="7.6640625" style="2" customWidth="1"/>
    <col min="9974" max="9974" width="4.21875" style="2" customWidth="1"/>
    <col min="9975" max="9975" width="98" style="2" customWidth="1"/>
    <col min="9976" max="9976" width="16.109375" style="2" customWidth="1"/>
    <col min="9977" max="9977" width="1.88671875" style="2" customWidth="1"/>
    <col min="9978" max="9978" width="15.88671875" style="2" customWidth="1"/>
    <col min="9979" max="9979" width="1.88671875" style="2" customWidth="1"/>
    <col min="9980" max="9980" width="13.33203125" style="2" customWidth="1"/>
    <col min="9981" max="9981" width="1.88671875" style="2" customWidth="1"/>
    <col min="9982" max="9982" width="13.33203125" style="2" customWidth="1"/>
    <col min="9983" max="9983" width="2.33203125" style="2" customWidth="1"/>
    <col min="9984" max="9984" width="2.109375" style="2" customWidth="1"/>
    <col min="9985" max="9985" width="16.77734375" style="2" customWidth="1"/>
    <col min="9986" max="9986" width="13.6640625" style="2" customWidth="1"/>
    <col min="9987" max="9996" width="8.6640625" style="2" customWidth="1"/>
    <col min="9997" max="9997" width="20.77734375" style="2" customWidth="1"/>
    <col min="9998" max="10226" width="10.21875" style="2"/>
    <col min="10227" max="10228" width="0" style="2" hidden="1" customWidth="1"/>
    <col min="10229" max="10229" width="7.6640625" style="2" customWidth="1"/>
    <col min="10230" max="10230" width="4.21875" style="2" customWidth="1"/>
    <col min="10231" max="10231" width="98" style="2" customWidth="1"/>
    <col min="10232" max="10232" width="16.109375" style="2" customWidth="1"/>
    <col min="10233" max="10233" width="1.88671875" style="2" customWidth="1"/>
    <col min="10234" max="10234" width="15.88671875" style="2" customWidth="1"/>
    <col min="10235" max="10235" width="1.88671875" style="2" customWidth="1"/>
    <col min="10236" max="10236" width="13.33203125" style="2" customWidth="1"/>
    <col min="10237" max="10237" width="1.88671875" style="2" customWidth="1"/>
    <col min="10238" max="10238" width="13.33203125" style="2" customWidth="1"/>
    <col min="10239" max="10239" width="2.33203125" style="2" customWidth="1"/>
    <col min="10240" max="10240" width="2.109375" style="2" customWidth="1"/>
    <col min="10241" max="10241" width="16.77734375" style="2" customWidth="1"/>
    <col min="10242" max="10242" width="13.6640625" style="2" customWidth="1"/>
    <col min="10243" max="10252" width="8.6640625" style="2" customWidth="1"/>
    <col min="10253" max="10253" width="20.77734375" style="2" customWidth="1"/>
    <col min="10254" max="10482" width="10.21875" style="2"/>
    <col min="10483" max="10484" width="0" style="2" hidden="1" customWidth="1"/>
    <col min="10485" max="10485" width="7.6640625" style="2" customWidth="1"/>
    <col min="10486" max="10486" width="4.21875" style="2" customWidth="1"/>
    <col min="10487" max="10487" width="98" style="2" customWidth="1"/>
    <col min="10488" max="10488" width="16.109375" style="2" customWidth="1"/>
    <col min="10489" max="10489" width="1.88671875" style="2" customWidth="1"/>
    <col min="10490" max="10490" width="15.88671875" style="2" customWidth="1"/>
    <col min="10491" max="10491" width="1.88671875" style="2" customWidth="1"/>
    <col min="10492" max="10492" width="13.33203125" style="2" customWidth="1"/>
    <col min="10493" max="10493" width="1.88671875" style="2" customWidth="1"/>
    <col min="10494" max="10494" width="13.33203125" style="2" customWidth="1"/>
    <col min="10495" max="10495" width="2.33203125" style="2" customWidth="1"/>
    <col min="10496" max="10496" width="2.109375" style="2" customWidth="1"/>
    <col min="10497" max="10497" width="16.77734375" style="2" customWidth="1"/>
    <col min="10498" max="10498" width="13.6640625" style="2" customWidth="1"/>
    <col min="10499" max="10508" width="8.6640625" style="2" customWidth="1"/>
    <col min="10509" max="10509" width="20.77734375" style="2" customWidth="1"/>
    <col min="10510" max="10738" width="10.21875" style="2"/>
    <col min="10739" max="10740" width="0" style="2" hidden="1" customWidth="1"/>
    <col min="10741" max="10741" width="7.6640625" style="2" customWidth="1"/>
    <col min="10742" max="10742" width="4.21875" style="2" customWidth="1"/>
    <col min="10743" max="10743" width="98" style="2" customWidth="1"/>
    <col min="10744" max="10744" width="16.109375" style="2" customWidth="1"/>
    <col min="10745" max="10745" width="1.88671875" style="2" customWidth="1"/>
    <col min="10746" max="10746" width="15.88671875" style="2" customWidth="1"/>
    <col min="10747" max="10747" width="1.88671875" style="2" customWidth="1"/>
    <col min="10748" max="10748" width="13.33203125" style="2" customWidth="1"/>
    <col min="10749" max="10749" width="1.88671875" style="2" customWidth="1"/>
    <col min="10750" max="10750" width="13.33203125" style="2" customWidth="1"/>
    <col min="10751" max="10751" width="2.33203125" style="2" customWidth="1"/>
    <col min="10752" max="10752" width="2.109375" style="2" customWidth="1"/>
    <col min="10753" max="10753" width="16.77734375" style="2" customWidth="1"/>
    <col min="10754" max="10754" width="13.6640625" style="2" customWidth="1"/>
    <col min="10755" max="10764" width="8.6640625" style="2" customWidth="1"/>
    <col min="10765" max="10765" width="20.77734375" style="2" customWidth="1"/>
    <col min="10766" max="10994" width="10.21875" style="2"/>
    <col min="10995" max="10996" width="0" style="2" hidden="1" customWidth="1"/>
    <col min="10997" max="10997" width="7.6640625" style="2" customWidth="1"/>
    <col min="10998" max="10998" width="4.21875" style="2" customWidth="1"/>
    <col min="10999" max="10999" width="98" style="2" customWidth="1"/>
    <col min="11000" max="11000" width="16.109375" style="2" customWidth="1"/>
    <col min="11001" max="11001" width="1.88671875" style="2" customWidth="1"/>
    <col min="11002" max="11002" width="15.88671875" style="2" customWidth="1"/>
    <col min="11003" max="11003" width="1.88671875" style="2" customWidth="1"/>
    <col min="11004" max="11004" width="13.33203125" style="2" customWidth="1"/>
    <col min="11005" max="11005" width="1.88671875" style="2" customWidth="1"/>
    <col min="11006" max="11006" width="13.33203125" style="2" customWidth="1"/>
    <col min="11007" max="11007" width="2.33203125" style="2" customWidth="1"/>
    <col min="11008" max="11008" width="2.109375" style="2" customWidth="1"/>
    <col min="11009" max="11009" width="16.77734375" style="2" customWidth="1"/>
    <col min="11010" max="11010" width="13.6640625" style="2" customWidth="1"/>
    <col min="11011" max="11020" width="8.6640625" style="2" customWidth="1"/>
    <col min="11021" max="11021" width="20.77734375" style="2" customWidth="1"/>
    <col min="11022" max="11250" width="10.21875" style="2"/>
    <col min="11251" max="11252" width="0" style="2" hidden="1" customWidth="1"/>
    <col min="11253" max="11253" width="7.6640625" style="2" customWidth="1"/>
    <col min="11254" max="11254" width="4.21875" style="2" customWidth="1"/>
    <col min="11255" max="11255" width="98" style="2" customWidth="1"/>
    <col min="11256" max="11256" width="16.109375" style="2" customWidth="1"/>
    <col min="11257" max="11257" width="1.88671875" style="2" customWidth="1"/>
    <col min="11258" max="11258" width="15.88671875" style="2" customWidth="1"/>
    <col min="11259" max="11259" width="1.88671875" style="2" customWidth="1"/>
    <col min="11260" max="11260" width="13.33203125" style="2" customWidth="1"/>
    <col min="11261" max="11261" width="1.88671875" style="2" customWidth="1"/>
    <col min="11262" max="11262" width="13.33203125" style="2" customWidth="1"/>
    <col min="11263" max="11263" width="2.33203125" style="2" customWidth="1"/>
    <col min="11264" max="11264" width="2.109375" style="2" customWidth="1"/>
    <col min="11265" max="11265" width="16.77734375" style="2" customWidth="1"/>
    <col min="11266" max="11266" width="13.6640625" style="2" customWidth="1"/>
    <col min="11267" max="11276" width="8.6640625" style="2" customWidth="1"/>
    <col min="11277" max="11277" width="20.77734375" style="2" customWidth="1"/>
    <col min="11278" max="11506" width="10.21875" style="2"/>
    <col min="11507" max="11508" width="0" style="2" hidden="1" customWidth="1"/>
    <col min="11509" max="11509" width="7.6640625" style="2" customWidth="1"/>
    <col min="11510" max="11510" width="4.21875" style="2" customWidth="1"/>
    <col min="11511" max="11511" width="98" style="2" customWidth="1"/>
    <col min="11512" max="11512" width="16.109375" style="2" customWidth="1"/>
    <col min="11513" max="11513" width="1.88671875" style="2" customWidth="1"/>
    <col min="11514" max="11514" width="15.88671875" style="2" customWidth="1"/>
    <col min="11515" max="11515" width="1.88671875" style="2" customWidth="1"/>
    <col min="11516" max="11516" width="13.33203125" style="2" customWidth="1"/>
    <col min="11517" max="11517" width="1.88671875" style="2" customWidth="1"/>
    <col min="11518" max="11518" width="13.33203125" style="2" customWidth="1"/>
    <col min="11519" max="11519" width="2.33203125" style="2" customWidth="1"/>
    <col min="11520" max="11520" width="2.109375" style="2" customWidth="1"/>
    <col min="11521" max="11521" width="16.77734375" style="2" customWidth="1"/>
    <col min="11522" max="11522" width="13.6640625" style="2" customWidth="1"/>
    <col min="11523" max="11532" width="8.6640625" style="2" customWidth="1"/>
    <col min="11533" max="11533" width="20.77734375" style="2" customWidth="1"/>
    <col min="11534" max="11762" width="10.21875" style="2"/>
    <col min="11763" max="11764" width="0" style="2" hidden="1" customWidth="1"/>
    <col min="11765" max="11765" width="7.6640625" style="2" customWidth="1"/>
    <col min="11766" max="11766" width="4.21875" style="2" customWidth="1"/>
    <col min="11767" max="11767" width="98" style="2" customWidth="1"/>
    <col min="11768" max="11768" width="16.109375" style="2" customWidth="1"/>
    <col min="11769" max="11769" width="1.88671875" style="2" customWidth="1"/>
    <col min="11770" max="11770" width="15.88671875" style="2" customWidth="1"/>
    <col min="11771" max="11771" width="1.88671875" style="2" customWidth="1"/>
    <col min="11772" max="11772" width="13.33203125" style="2" customWidth="1"/>
    <col min="11773" max="11773" width="1.88671875" style="2" customWidth="1"/>
    <col min="11774" max="11774" width="13.33203125" style="2" customWidth="1"/>
    <col min="11775" max="11775" width="2.33203125" style="2" customWidth="1"/>
    <col min="11776" max="11776" width="2.109375" style="2" customWidth="1"/>
    <col min="11777" max="11777" width="16.77734375" style="2" customWidth="1"/>
    <col min="11778" max="11778" width="13.6640625" style="2" customWidth="1"/>
    <col min="11779" max="11788" width="8.6640625" style="2" customWidth="1"/>
    <col min="11789" max="11789" width="20.77734375" style="2" customWidth="1"/>
    <col min="11790" max="12018" width="10.21875" style="2"/>
    <col min="12019" max="12020" width="0" style="2" hidden="1" customWidth="1"/>
    <col min="12021" max="12021" width="7.6640625" style="2" customWidth="1"/>
    <col min="12022" max="12022" width="4.21875" style="2" customWidth="1"/>
    <col min="12023" max="12023" width="98" style="2" customWidth="1"/>
    <col min="12024" max="12024" width="16.109375" style="2" customWidth="1"/>
    <col min="12025" max="12025" width="1.88671875" style="2" customWidth="1"/>
    <col min="12026" max="12026" width="15.88671875" style="2" customWidth="1"/>
    <col min="12027" max="12027" width="1.88671875" style="2" customWidth="1"/>
    <col min="12028" max="12028" width="13.33203125" style="2" customWidth="1"/>
    <col min="12029" max="12029" width="1.88671875" style="2" customWidth="1"/>
    <col min="12030" max="12030" width="13.33203125" style="2" customWidth="1"/>
    <col min="12031" max="12031" width="2.33203125" style="2" customWidth="1"/>
    <col min="12032" max="12032" width="2.109375" style="2" customWidth="1"/>
    <col min="12033" max="12033" width="16.77734375" style="2" customWidth="1"/>
    <col min="12034" max="12034" width="13.6640625" style="2" customWidth="1"/>
    <col min="12035" max="12044" width="8.6640625" style="2" customWidth="1"/>
    <col min="12045" max="12045" width="20.77734375" style="2" customWidth="1"/>
    <col min="12046" max="12274" width="10.21875" style="2"/>
    <col min="12275" max="12276" width="0" style="2" hidden="1" customWidth="1"/>
    <col min="12277" max="12277" width="7.6640625" style="2" customWidth="1"/>
    <col min="12278" max="12278" width="4.21875" style="2" customWidth="1"/>
    <col min="12279" max="12279" width="98" style="2" customWidth="1"/>
    <col min="12280" max="12280" width="16.109375" style="2" customWidth="1"/>
    <col min="12281" max="12281" width="1.88671875" style="2" customWidth="1"/>
    <col min="12282" max="12282" width="15.88671875" style="2" customWidth="1"/>
    <col min="12283" max="12283" width="1.88671875" style="2" customWidth="1"/>
    <col min="12284" max="12284" width="13.33203125" style="2" customWidth="1"/>
    <col min="12285" max="12285" width="1.88671875" style="2" customWidth="1"/>
    <col min="12286" max="12286" width="13.33203125" style="2" customWidth="1"/>
    <col min="12287" max="12287" width="2.33203125" style="2" customWidth="1"/>
    <col min="12288" max="12288" width="2.109375" style="2" customWidth="1"/>
    <col min="12289" max="12289" width="16.77734375" style="2" customWidth="1"/>
    <col min="12290" max="12290" width="13.6640625" style="2" customWidth="1"/>
    <col min="12291" max="12300" width="8.6640625" style="2" customWidth="1"/>
    <col min="12301" max="12301" width="20.77734375" style="2" customWidth="1"/>
    <col min="12302" max="12530" width="10.21875" style="2"/>
    <col min="12531" max="12532" width="0" style="2" hidden="1" customWidth="1"/>
    <col min="12533" max="12533" width="7.6640625" style="2" customWidth="1"/>
    <col min="12534" max="12534" width="4.21875" style="2" customWidth="1"/>
    <col min="12535" max="12535" width="98" style="2" customWidth="1"/>
    <col min="12536" max="12536" width="16.109375" style="2" customWidth="1"/>
    <col min="12537" max="12537" width="1.88671875" style="2" customWidth="1"/>
    <col min="12538" max="12538" width="15.88671875" style="2" customWidth="1"/>
    <col min="12539" max="12539" width="1.88671875" style="2" customWidth="1"/>
    <col min="12540" max="12540" width="13.33203125" style="2" customWidth="1"/>
    <col min="12541" max="12541" width="1.88671875" style="2" customWidth="1"/>
    <col min="12542" max="12542" width="13.33203125" style="2" customWidth="1"/>
    <col min="12543" max="12543" width="2.33203125" style="2" customWidth="1"/>
    <col min="12544" max="12544" width="2.109375" style="2" customWidth="1"/>
    <col min="12545" max="12545" width="16.77734375" style="2" customWidth="1"/>
    <col min="12546" max="12546" width="13.6640625" style="2" customWidth="1"/>
    <col min="12547" max="12556" width="8.6640625" style="2" customWidth="1"/>
    <col min="12557" max="12557" width="20.77734375" style="2" customWidth="1"/>
    <col min="12558" max="12786" width="10.21875" style="2"/>
    <col min="12787" max="12788" width="0" style="2" hidden="1" customWidth="1"/>
    <col min="12789" max="12789" width="7.6640625" style="2" customWidth="1"/>
    <col min="12790" max="12790" width="4.21875" style="2" customWidth="1"/>
    <col min="12791" max="12791" width="98" style="2" customWidth="1"/>
    <col min="12792" max="12792" width="16.109375" style="2" customWidth="1"/>
    <col min="12793" max="12793" width="1.88671875" style="2" customWidth="1"/>
    <col min="12794" max="12794" width="15.88671875" style="2" customWidth="1"/>
    <col min="12795" max="12795" width="1.88671875" style="2" customWidth="1"/>
    <col min="12796" max="12796" width="13.33203125" style="2" customWidth="1"/>
    <col min="12797" max="12797" width="1.88671875" style="2" customWidth="1"/>
    <col min="12798" max="12798" width="13.33203125" style="2" customWidth="1"/>
    <col min="12799" max="12799" width="2.33203125" style="2" customWidth="1"/>
    <col min="12800" max="12800" width="2.109375" style="2" customWidth="1"/>
    <col min="12801" max="12801" width="16.77734375" style="2" customWidth="1"/>
    <col min="12802" max="12802" width="13.6640625" style="2" customWidth="1"/>
    <col min="12803" max="12812" width="8.6640625" style="2" customWidth="1"/>
    <col min="12813" max="12813" width="20.77734375" style="2" customWidth="1"/>
    <col min="12814" max="13042" width="10.21875" style="2"/>
    <col min="13043" max="13044" width="0" style="2" hidden="1" customWidth="1"/>
    <col min="13045" max="13045" width="7.6640625" style="2" customWidth="1"/>
    <col min="13046" max="13046" width="4.21875" style="2" customWidth="1"/>
    <col min="13047" max="13047" width="98" style="2" customWidth="1"/>
    <col min="13048" max="13048" width="16.109375" style="2" customWidth="1"/>
    <col min="13049" max="13049" width="1.88671875" style="2" customWidth="1"/>
    <col min="13050" max="13050" width="15.88671875" style="2" customWidth="1"/>
    <col min="13051" max="13051" width="1.88671875" style="2" customWidth="1"/>
    <col min="13052" max="13052" width="13.33203125" style="2" customWidth="1"/>
    <col min="13053" max="13053" width="1.88671875" style="2" customWidth="1"/>
    <col min="13054" max="13054" width="13.33203125" style="2" customWidth="1"/>
    <col min="13055" max="13055" width="2.33203125" style="2" customWidth="1"/>
    <col min="13056" max="13056" width="2.109375" style="2" customWidth="1"/>
    <col min="13057" max="13057" width="16.77734375" style="2" customWidth="1"/>
    <col min="13058" max="13058" width="13.6640625" style="2" customWidth="1"/>
    <col min="13059" max="13068" width="8.6640625" style="2" customWidth="1"/>
    <col min="13069" max="13069" width="20.77734375" style="2" customWidth="1"/>
    <col min="13070" max="13298" width="10.21875" style="2"/>
    <col min="13299" max="13300" width="0" style="2" hidden="1" customWidth="1"/>
    <col min="13301" max="13301" width="7.6640625" style="2" customWidth="1"/>
    <col min="13302" max="13302" width="4.21875" style="2" customWidth="1"/>
    <col min="13303" max="13303" width="98" style="2" customWidth="1"/>
    <col min="13304" max="13304" width="16.109375" style="2" customWidth="1"/>
    <col min="13305" max="13305" width="1.88671875" style="2" customWidth="1"/>
    <col min="13306" max="13306" width="15.88671875" style="2" customWidth="1"/>
    <col min="13307" max="13307" width="1.88671875" style="2" customWidth="1"/>
    <col min="13308" max="13308" width="13.33203125" style="2" customWidth="1"/>
    <col min="13309" max="13309" width="1.88671875" style="2" customWidth="1"/>
    <col min="13310" max="13310" width="13.33203125" style="2" customWidth="1"/>
    <col min="13311" max="13311" width="2.33203125" style="2" customWidth="1"/>
    <col min="13312" max="13312" width="2.109375" style="2" customWidth="1"/>
    <col min="13313" max="13313" width="16.77734375" style="2" customWidth="1"/>
    <col min="13314" max="13314" width="13.6640625" style="2" customWidth="1"/>
    <col min="13315" max="13324" width="8.6640625" style="2" customWidth="1"/>
    <col min="13325" max="13325" width="20.77734375" style="2" customWidth="1"/>
    <col min="13326" max="13554" width="10.21875" style="2"/>
    <col min="13555" max="13556" width="0" style="2" hidden="1" customWidth="1"/>
    <col min="13557" max="13557" width="7.6640625" style="2" customWidth="1"/>
    <col min="13558" max="13558" width="4.21875" style="2" customWidth="1"/>
    <col min="13559" max="13559" width="98" style="2" customWidth="1"/>
    <col min="13560" max="13560" width="16.109375" style="2" customWidth="1"/>
    <col min="13561" max="13561" width="1.88671875" style="2" customWidth="1"/>
    <col min="13562" max="13562" width="15.88671875" style="2" customWidth="1"/>
    <col min="13563" max="13563" width="1.88671875" style="2" customWidth="1"/>
    <col min="13564" max="13564" width="13.33203125" style="2" customWidth="1"/>
    <col min="13565" max="13565" width="1.88671875" style="2" customWidth="1"/>
    <col min="13566" max="13566" width="13.33203125" style="2" customWidth="1"/>
    <col min="13567" max="13567" width="2.33203125" style="2" customWidth="1"/>
    <col min="13568" max="13568" width="2.109375" style="2" customWidth="1"/>
    <col min="13569" max="13569" width="16.77734375" style="2" customWidth="1"/>
    <col min="13570" max="13570" width="13.6640625" style="2" customWidth="1"/>
    <col min="13571" max="13580" width="8.6640625" style="2" customWidth="1"/>
    <col min="13581" max="13581" width="20.77734375" style="2" customWidth="1"/>
    <col min="13582" max="13810" width="10.21875" style="2"/>
    <col min="13811" max="13812" width="0" style="2" hidden="1" customWidth="1"/>
    <col min="13813" max="13813" width="7.6640625" style="2" customWidth="1"/>
    <col min="13814" max="13814" width="4.21875" style="2" customWidth="1"/>
    <col min="13815" max="13815" width="98" style="2" customWidth="1"/>
    <col min="13816" max="13816" width="16.109375" style="2" customWidth="1"/>
    <col min="13817" max="13817" width="1.88671875" style="2" customWidth="1"/>
    <col min="13818" max="13818" width="15.88671875" style="2" customWidth="1"/>
    <col min="13819" max="13819" width="1.88671875" style="2" customWidth="1"/>
    <col min="13820" max="13820" width="13.33203125" style="2" customWidth="1"/>
    <col min="13821" max="13821" width="1.88671875" style="2" customWidth="1"/>
    <col min="13822" max="13822" width="13.33203125" style="2" customWidth="1"/>
    <col min="13823" max="13823" width="2.33203125" style="2" customWidth="1"/>
    <col min="13824" max="13824" width="2.109375" style="2" customWidth="1"/>
    <col min="13825" max="13825" width="16.77734375" style="2" customWidth="1"/>
    <col min="13826" max="13826" width="13.6640625" style="2" customWidth="1"/>
    <col min="13827" max="13836" width="8.6640625" style="2" customWidth="1"/>
    <col min="13837" max="13837" width="20.77734375" style="2" customWidth="1"/>
    <col min="13838" max="14066" width="10.21875" style="2"/>
    <col min="14067" max="14068" width="0" style="2" hidden="1" customWidth="1"/>
    <col min="14069" max="14069" width="7.6640625" style="2" customWidth="1"/>
    <col min="14070" max="14070" width="4.21875" style="2" customWidth="1"/>
    <col min="14071" max="14071" width="98" style="2" customWidth="1"/>
    <col min="14072" max="14072" width="16.109375" style="2" customWidth="1"/>
    <col min="14073" max="14073" width="1.88671875" style="2" customWidth="1"/>
    <col min="14074" max="14074" width="15.88671875" style="2" customWidth="1"/>
    <col min="14075" max="14075" width="1.88671875" style="2" customWidth="1"/>
    <col min="14076" max="14076" width="13.33203125" style="2" customWidth="1"/>
    <col min="14077" max="14077" width="1.88671875" style="2" customWidth="1"/>
    <col min="14078" max="14078" width="13.33203125" style="2" customWidth="1"/>
    <col min="14079" max="14079" width="2.33203125" style="2" customWidth="1"/>
    <col min="14080" max="14080" width="2.109375" style="2" customWidth="1"/>
    <col min="14081" max="14081" width="16.77734375" style="2" customWidth="1"/>
    <col min="14082" max="14082" width="13.6640625" style="2" customWidth="1"/>
    <col min="14083" max="14092" width="8.6640625" style="2" customWidth="1"/>
    <col min="14093" max="14093" width="20.77734375" style="2" customWidth="1"/>
    <col min="14094" max="14322" width="10.21875" style="2"/>
    <col min="14323" max="14324" width="0" style="2" hidden="1" customWidth="1"/>
    <col min="14325" max="14325" width="7.6640625" style="2" customWidth="1"/>
    <col min="14326" max="14326" width="4.21875" style="2" customWidth="1"/>
    <col min="14327" max="14327" width="98" style="2" customWidth="1"/>
    <col min="14328" max="14328" width="16.109375" style="2" customWidth="1"/>
    <col min="14329" max="14329" width="1.88671875" style="2" customWidth="1"/>
    <col min="14330" max="14330" width="15.88671875" style="2" customWidth="1"/>
    <col min="14331" max="14331" width="1.88671875" style="2" customWidth="1"/>
    <col min="14332" max="14332" width="13.33203125" style="2" customWidth="1"/>
    <col min="14333" max="14333" width="1.88671875" style="2" customWidth="1"/>
    <col min="14334" max="14334" width="13.33203125" style="2" customWidth="1"/>
    <col min="14335" max="14335" width="2.33203125" style="2" customWidth="1"/>
    <col min="14336" max="14336" width="2.109375" style="2" customWidth="1"/>
    <col min="14337" max="14337" width="16.77734375" style="2" customWidth="1"/>
    <col min="14338" max="14338" width="13.6640625" style="2" customWidth="1"/>
    <col min="14339" max="14348" width="8.6640625" style="2" customWidth="1"/>
    <col min="14349" max="14349" width="20.77734375" style="2" customWidth="1"/>
    <col min="14350" max="14578" width="10.21875" style="2"/>
    <col min="14579" max="14580" width="0" style="2" hidden="1" customWidth="1"/>
    <col min="14581" max="14581" width="7.6640625" style="2" customWidth="1"/>
    <col min="14582" max="14582" width="4.21875" style="2" customWidth="1"/>
    <col min="14583" max="14583" width="98" style="2" customWidth="1"/>
    <col min="14584" max="14584" width="16.109375" style="2" customWidth="1"/>
    <col min="14585" max="14585" width="1.88671875" style="2" customWidth="1"/>
    <col min="14586" max="14586" width="15.88671875" style="2" customWidth="1"/>
    <col min="14587" max="14587" width="1.88671875" style="2" customWidth="1"/>
    <col min="14588" max="14588" width="13.33203125" style="2" customWidth="1"/>
    <col min="14589" max="14589" width="1.88671875" style="2" customWidth="1"/>
    <col min="14590" max="14590" width="13.33203125" style="2" customWidth="1"/>
    <col min="14591" max="14591" width="2.33203125" style="2" customWidth="1"/>
    <col min="14592" max="14592" width="2.109375" style="2" customWidth="1"/>
    <col min="14593" max="14593" width="16.77734375" style="2" customWidth="1"/>
    <col min="14594" max="14594" width="13.6640625" style="2" customWidth="1"/>
    <col min="14595" max="14604" width="8.6640625" style="2" customWidth="1"/>
    <col min="14605" max="14605" width="20.77734375" style="2" customWidth="1"/>
    <col min="14606" max="14834" width="10.21875" style="2"/>
    <col min="14835" max="14836" width="0" style="2" hidden="1" customWidth="1"/>
    <col min="14837" max="14837" width="7.6640625" style="2" customWidth="1"/>
    <col min="14838" max="14838" width="4.21875" style="2" customWidth="1"/>
    <col min="14839" max="14839" width="98" style="2" customWidth="1"/>
    <col min="14840" max="14840" width="16.109375" style="2" customWidth="1"/>
    <col min="14841" max="14841" width="1.88671875" style="2" customWidth="1"/>
    <col min="14842" max="14842" width="15.88671875" style="2" customWidth="1"/>
    <col min="14843" max="14843" width="1.88671875" style="2" customWidth="1"/>
    <col min="14844" max="14844" width="13.33203125" style="2" customWidth="1"/>
    <col min="14845" max="14845" width="1.88671875" style="2" customWidth="1"/>
    <col min="14846" max="14846" width="13.33203125" style="2" customWidth="1"/>
    <col min="14847" max="14847" width="2.33203125" style="2" customWidth="1"/>
    <col min="14848" max="14848" width="2.109375" style="2" customWidth="1"/>
    <col min="14849" max="14849" width="16.77734375" style="2" customWidth="1"/>
    <col min="14850" max="14850" width="13.6640625" style="2" customWidth="1"/>
    <col min="14851" max="14860" width="8.6640625" style="2" customWidth="1"/>
    <col min="14861" max="14861" width="20.77734375" style="2" customWidth="1"/>
    <col min="14862" max="15090" width="10.21875" style="2"/>
    <col min="15091" max="15092" width="0" style="2" hidden="1" customWidth="1"/>
    <col min="15093" max="15093" width="7.6640625" style="2" customWidth="1"/>
    <col min="15094" max="15094" width="4.21875" style="2" customWidth="1"/>
    <col min="15095" max="15095" width="98" style="2" customWidth="1"/>
    <col min="15096" max="15096" width="16.109375" style="2" customWidth="1"/>
    <col min="15097" max="15097" width="1.88671875" style="2" customWidth="1"/>
    <col min="15098" max="15098" width="15.88671875" style="2" customWidth="1"/>
    <col min="15099" max="15099" width="1.88671875" style="2" customWidth="1"/>
    <col min="15100" max="15100" width="13.33203125" style="2" customWidth="1"/>
    <col min="15101" max="15101" width="1.88671875" style="2" customWidth="1"/>
    <col min="15102" max="15102" width="13.33203125" style="2" customWidth="1"/>
    <col min="15103" max="15103" width="2.33203125" style="2" customWidth="1"/>
    <col min="15104" max="15104" width="2.109375" style="2" customWidth="1"/>
    <col min="15105" max="15105" width="16.77734375" style="2" customWidth="1"/>
    <col min="15106" max="15106" width="13.6640625" style="2" customWidth="1"/>
    <col min="15107" max="15116" width="8.6640625" style="2" customWidth="1"/>
    <col min="15117" max="15117" width="20.77734375" style="2" customWidth="1"/>
    <col min="15118" max="15346" width="10.21875" style="2"/>
    <col min="15347" max="15348" width="0" style="2" hidden="1" customWidth="1"/>
    <col min="15349" max="15349" width="7.6640625" style="2" customWidth="1"/>
    <col min="15350" max="15350" width="4.21875" style="2" customWidth="1"/>
    <col min="15351" max="15351" width="98" style="2" customWidth="1"/>
    <col min="15352" max="15352" width="16.109375" style="2" customWidth="1"/>
    <col min="15353" max="15353" width="1.88671875" style="2" customWidth="1"/>
    <col min="15354" max="15354" width="15.88671875" style="2" customWidth="1"/>
    <col min="15355" max="15355" width="1.88671875" style="2" customWidth="1"/>
    <col min="15356" max="15356" width="13.33203125" style="2" customWidth="1"/>
    <col min="15357" max="15357" width="1.88671875" style="2" customWidth="1"/>
    <col min="15358" max="15358" width="13.33203125" style="2" customWidth="1"/>
    <col min="15359" max="15359" width="2.33203125" style="2" customWidth="1"/>
    <col min="15360" max="15360" width="2.109375" style="2" customWidth="1"/>
    <col min="15361" max="15361" width="16.77734375" style="2" customWidth="1"/>
    <col min="15362" max="15362" width="13.6640625" style="2" customWidth="1"/>
    <col min="15363" max="15372" width="8.6640625" style="2" customWidth="1"/>
    <col min="15373" max="15373" width="20.77734375" style="2" customWidth="1"/>
    <col min="15374" max="15602" width="10.21875" style="2"/>
    <col min="15603" max="15604" width="0" style="2" hidden="1" customWidth="1"/>
    <col min="15605" max="15605" width="7.6640625" style="2" customWidth="1"/>
    <col min="15606" max="15606" width="4.21875" style="2" customWidth="1"/>
    <col min="15607" max="15607" width="98" style="2" customWidth="1"/>
    <col min="15608" max="15608" width="16.109375" style="2" customWidth="1"/>
    <col min="15609" max="15609" width="1.88671875" style="2" customWidth="1"/>
    <col min="15610" max="15610" width="15.88671875" style="2" customWidth="1"/>
    <col min="15611" max="15611" width="1.88671875" style="2" customWidth="1"/>
    <col min="15612" max="15612" width="13.33203125" style="2" customWidth="1"/>
    <col min="15613" max="15613" width="1.88671875" style="2" customWidth="1"/>
    <col min="15614" max="15614" width="13.33203125" style="2" customWidth="1"/>
    <col min="15615" max="15615" width="2.33203125" style="2" customWidth="1"/>
    <col min="15616" max="15616" width="2.109375" style="2" customWidth="1"/>
    <col min="15617" max="15617" width="16.77734375" style="2" customWidth="1"/>
    <col min="15618" max="15618" width="13.6640625" style="2" customWidth="1"/>
    <col min="15619" max="15628" width="8.6640625" style="2" customWidth="1"/>
    <col min="15629" max="15629" width="20.77734375" style="2" customWidth="1"/>
    <col min="15630" max="15858" width="10.21875" style="2"/>
    <col min="15859" max="15860" width="0" style="2" hidden="1" customWidth="1"/>
    <col min="15861" max="15861" width="7.6640625" style="2" customWidth="1"/>
    <col min="15862" max="15862" width="4.21875" style="2" customWidth="1"/>
    <col min="15863" max="15863" width="98" style="2" customWidth="1"/>
    <col min="15864" max="15864" width="16.109375" style="2" customWidth="1"/>
    <col min="15865" max="15865" width="1.88671875" style="2" customWidth="1"/>
    <col min="15866" max="15866" width="15.88671875" style="2" customWidth="1"/>
    <col min="15867" max="15867" width="1.88671875" style="2" customWidth="1"/>
    <col min="15868" max="15868" width="13.33203125" style="2" customWidth="1"/>
    <col min="15869" max="15869" width="1.88671875" style="2" customWidth="1"/>
    <col min="15870" max="15870" width="13.33203125" style="2" customWidth="1"/>
    <col min="15871" max="15871" width="2.33203125" style="2" customWidth="1"/>
    <col min="15872" max="15872" width="2.109375" style="2" customWidth="1"/>
    <col min="15873" max="15873" width="16.77734375" style="2" customWidth="1"/>
    <col min="15874" max="15874" width="13.6640625" style="2" customWidth="1"/>
    <col min="15875" max="15884" width="8.6640625" style="2" customWidth="1"/>
    <col min="15885" max="15885" width="20.77734375" style="2" customWidth="1"/>
    <col min="15886" max="16114" width="10.21875" style="2"/>
    <col min="16115" max="16116" width="0" style="2" hidden="1" customWidth="1"/>
    <col min="16117" max="16117" width="7.6640625" style="2" customWidth="1"/>
    <col min="16118" max="16118" width="4.21875" style="2" customWidth="1"/>
    <col min="16119" max="16119" width="98" style="2" customWidth="1"/>
    <col min="16120" max="16120" width="16.109375" style="2" customWidth="1"/>
    <col min="16121" max="16121" width="1.88671875" style="2" customWidth="1"/>
    <col min="16122" max="16122" width="15.88671875" style="2" customWidth="1"/>
    <col min="16123" max="16123" width="1.88671875" style="2" customWidth="1"/>
    <col min="16124" max="16124" width="13.33203125" style="2" customWidth="1"/>
    <col min="16125" max="16125" width="1.88671875" style="2" customWidth="1"/>
    <col min="16126" max="16126" width="13.33203125" style="2" customWidth="1"/>
    <col min="16127" max="16127" width="2.33203125" style="2" customWidth="1"/>
    <col min="16128" max="16128" width="2.109375" style="2" customWidth="1"/>
    <col min="16129" max="16129" width="16.77734375" style="2" customWidth="1"/>
    <col min="16130" max="16130" width="13.6640625" style="2" customWidth="1"/>
    <col min="16131" max="16140" width="8.6640625" style="2" customWidth="1"/>
    <col min="16141" max="16141" width="20.77734375" style="2" customWidth="1"/>
    <col min="16142" max="16384" width="10.21875" style="2"/>
  </cols>
  <sheetData>
    <row r="1" spans="1:19" ht="30">
      <c r="A1" s="2" t="s">
        <v>0</v>
      </c>
      <c r="B1" s="4"/>
      <c r="C1" s="298" t="s">
        <v>1</v>
      </c>
      <c r="D1" s="298"/>
      <c r="E1" s="298"/>
      <c r="F1" s="19"/>
      <c r="G1" s="19"/>
      <c r="H1" s="19"/>
      <c r="I1" s="19"/>
      <c r="J1" s="19"/>
      <c r="K1" s="19"/>
    </row>
    <row r="2" spans="1:19" ht="23.25">
      <c r="A2" s="2" t="s">
        <v>2</v>
      </c>
      <c r="B2" s="4">
        <v>38353</v>
      </c>
      <c r="C2" s="1142" t="s">
        <v>3</v>
      </c>
      <c r="D2" s="1142"/>
      <c r="E2" s="1142"/>
      <c r="F2" s="19"/>
      <c r="G2" s="19"/>
      <c r="H2" s="19"/>
      <c r="I2" s="19"/>
      <c r="J2" s="19"/>
      <c r="K2" s="19"/>
    </row>
    <row r="3" spans="1:19" ht="23.25">
      <c r="A3" s="2" t="s">
        <v>4</v>
      </c>
      <c r="B3" s="4">
        <v>38717</v>
      </c>
      <c r="C3" s="20" t="s">
        <v>5</v>
      </c>
      <c r="D3" s="25"/>
      <c r="E3" s="25"/>
      <c r="F3" s="19"/>
      <c r="G3" s="25"/>
      <c r="H3" s="19"/>
      <c r="I3" s="19"/>
      <c r="J3" s="19"/>
      <c r="K3" s="19"/>
    </row>
    <row r="4" spans="1:19" ht="29.25" customHeight="1">
      <c r="C4" s="29"/>
      <c r="D4" s="21"/>
      <c r="E4" s="16"/>
      <c r="F4" s="16"/>
      <c r="G4" s="16"/>
      <c r="H4" s="16"/>
      <c r="I4" s="16"/>
      <c r="J4" s="16"/>
      <c r="K4" s="16"/>
    </row>
    <row r="5" spans="1:19" s="6" customFormat="1" ht="49.5" customHeight="1" thickBot="1">
      <c r="C5" s="1143"/>
      <c r="D5" s="1143"/>
      <c r="E5" s="1143"/>
      <c r="F5" s="72"/>
      <c r="G5" s="71" t="s">
        <v>6</v>
      </c>
      <c r="H5" s="72"/>
      <c r="I5" s="71" t="s">
        <v>7</v>
      </c>
      <c r="J5" s="72"/>
      <c r="K5" s="71" t="s">
        <v>8</v>
      </c>
      <c r="L5" s="101"/>
      <c r="M5" s="101"/>
      <c r="Q5" s="277" t="s">
        <v>9</v>
      </c>
      <c r="R5" s="277" t="str">
        <f>K6</f>
        <v>3/23 - 2/24</v>
      </c>
    </row>
    <row r="6" spans="1:19" ht="20.25">
      <c r="C6" s="70"/>
      <c r="D6" s="69" t="s">
        <v>17</v>
      </c>
      <c r="E6" s="70"/>
      <c r="F6" s="74"/>
      <c r="G6" s="73" t="s">
        <v>18</v>
      </c>
      <c r="H6" s="74"/>
      <c r="I6" s="276" t="str">
        <f>G6</f>
        <v>3/23 - 2/24</v>
      </c>
      <c r="J6" s="74"/>
      <c r="K6" s="73" t="str">
        <f>G6</f>
        <v>3/23 - 2/24</v>
      </c>
      <c r="L6" s="55"/>
      <c r="M6" s="55"/>
      <c r="P6" s="32" t="s">
        <v>19</v>
      </c>
      <c r="Q6" s="64">
        <f>E8</f>
        <v>150000</v>
      </c>
      <c r="R6" s="388" t="e">
        <f>MAX(0,'2023.06 to 2024.05 LC'!$F11-$Q$6)</f>
        <v>#VALUE!</v>
      </c>
    </row>
    <row r="7" spans="1:19" s="7" customFormat="1" ht="18">
      <c r="A7" s="7" t="s">
        <v>20</v>
      </c>
      <c r="B7" s="7" t="s">
        <v>20</v>
      </c>
      <c r="C7" s="26">
        <v>1</v>
      </c>
      <c r="D7" s="75" t="s">
        <v>21</v>
      </c>
      <c r="E7" s="75"/>
      <c r="F7" s="92"/>
      <c r="G7" s="301">
        <f ca="1">(SUM(OFFSET('Medical &amp; Rx Total'!$D$7,COUNT('Medical &amp; Rx Total'!$D$8:$D$30),0,-12)))+(SUM(OFFSET('Medical &amp; Rx Total'!$H$7,COUNT('Medical &amp; Rx Total'!$H$8:$H$30),0,-12)))</f>
        <v>17995045.890000001</v>
      </c>
      <c r="H7" s="93"/>
      <c r="I7" s="91">
        <f ca="1">(SUM(OFFSET('Medical &amp; Rx Total'!$G$7,COUNT('Medical &amp; Rx Total'!$G$8:$G$30),0,-12)))</f>
        <v>3858201.0899999994</v>
      </c>
      <c r="J7" s="93"/>
      <c r="K7" s="91">
        <f ca="1">+G7+I7</f>
        <v>21853246.98</v>
      </c>
      <c r="L7" s="102"/>
      <c r="M7" s="102"/>
      <c r="P7" s="35" t="s">
        <v>22</v>
      </c>
      <c r="Q7" s="64">
        <f>E9</f>
        <v>70000</v>
      </c>
      <c r="R7" s="389" t="e">
        <f>MAX(0,'2023.06 to 2024.05 LC'!$F12-$Q$6)</f>
        <v>#VALUE!</v>
      </c>
    </row>
    <row r="8" spans="1:19" ht="18">
      <c r="C8" s="26">
        <f>+C7+1</f>
        <v>2</v>
      </c>
      <c r="D8" s="77" t="s">
        <v>23</v>
      </c>
      <c r="E8" s="462">
        <v>150000</v>
      </c>
      <c r="F8" s="95"/>
      <c r="G8" s="95" t="e">
        <f>-($R$226)</f>
        <v>#VALUE!</v>
      </c>
      <c r="H8" s="95"/>
      <c r="I8" s="95">
        <v>0</v>
      </c>
      <c r="J8" s="95"/>
      <c r="K8" s="95" t="e">
        <f>+I8+G8</f>
        <v>#VALUE!</v>
      </c>
      <c r="L8" s="55"/>
      <c r="M8" s="55"/>
      <c r="R8" s="389" t="e">
        <f>MAX(0,'2023.06 to 2024.05 LC'!$F13-$Q$6)</f>
        <v>#VALUE!</v>
      </c>
    </row>
    <row r="9" spans="1:19" ht="18">
      <c r="C9" s="26">
        <f>+C8+1</f>
        <v>3</v>
      </c>
      <c r="D9" s="15" t="s">
        <v>24</v>
      </c>
      <c r="E9" s="463">
        <v>70000</v>
      </c>
      <c r="F9" s="92"/>
      <c r="G9" s="91" t="e">
        <f ca="1">+G7+G8</f>
        <v>#VALUE!</v>
      </c>
      <c r="H9" s="93"/>
      <c r="I9" s="91">
        <f ca="1">+I8+I7</f>
        <v>3858201.0899999994</v>
      </c>
      <c r="J9" s="93"/>
      <c r="K9" s="91" t="e">
        <f ca="1">+K8+K7</f>
        <v>#VALUE!</v>
      </c>
      <c r="L9" s="55"/>
      <c r="M9" s="55"/>
      <c r="R9" s="389" t="e">
        <f>MAX(0,'2023.06 to 2024.05 LC'!$F14-$Q$6)</f>
        <v>#VALUE!</v>
      </c>
    </row>
    <row r="10" spans="1:19" ht="18">
      <c r="C10" s="26">
        <f>+C9+1</f>
        <v>4</v>
      </c>
      <c r="D10" s="76" t="s">
        <v>26</v>
      </c>
      <c r="E10" s="14"/>
      <c r="F10" s="95"/>
      <c r="G10" s="95">
        <f ca="1">(SUM(OFFSET('Medical &amp; Rx Total'!$B$7,COUNT('Medical &amp; Rx Total'!$B$8:$B$30),0,-13)))-(SUM(OFFSET('Medical &amp; Rx Total'!$B$7,COUNT('Medical &amp; Rx Total'!$B$8:$B$30),0,-1)))</f>
        <v>6948</v>
      </c>
      <c r="H10" s="96"/>
      <c r="I10" s="95">
        <f ca="1">+G10</f>
        <v>6948</v>
      </c>
      <c r="J10" s="95"/>
      <c r="K10" s="95">
        <f ca="1">+G10</f>
        <v>6948</v>
      </c>
      <c r="L10" s="55"/>
      <c r="M10" s="55"/>
      <c r="Q10" s="102"/>
      <c r="R10" s="389" t="e">
        <f>MAX(0,'2023.06 to 2024.05 LC'!$F15-$Q$6)</f>
        <v>#VALUE!</v>
      </c>
    </row>
    <row r="11" spans="1:19" ht="18">
      <c r="C11" s="26">
        <f>+C10+1</f>
        <v>5</v>
      </c>
      <c r="D11" s="67" t="s">
        <v>27</v>
      </c>
      <c r="E11" s="14"/>
      <c r="F11" s="98"/>
      <c r="G11" s="97" t="e">
        <f ca="1">+G9/G10</f>
        <v>#VALUE!</v>
      </c>
      <c r="H11" s="98"/>
      <c r="I11" s="97">
        <f ca="1">+I9/I10</f>
        <v>555.29664507772009</v>
      </c>
      <c r="J11" s="98"/>
      <c r="K11" s="97" t="e">
        <f ca="1">+K9/K10</f>
        <v>#VALUE!</v>
      </c>
      <c r="L11" s="55"/>
      <c r="M11" s="55"/>
      <c r="R11" s="389" t="e">
        <f>MAX(0,'2023.06 to 2024.05 LC'!$F16-$Q$6)</f>
        <v>#VALUE!</v>
      </c>
    </row>
    <row r="12" spans="1:19" ht="9" customHeight="1">
      <c r="C12" s="26" t="s">
        <v>20</v>
      </c>
      <c r="D12" s="16"/>
      <c r="E12" s="16"/>
      <c r="F12" s="92"/>
      <c r="G12" s="55"/>
      <c r="H12" s="55"/>
      <c r="I12" s="55"/>
      <c r="J12" s="55"/>
      <c r="K12" s="55"/>
      <c r="L12" s="55"/>
      <c r="M12" s="55"/>
      <c r="R12" s="389" t="e">
        <f>MAX(0,'2023.06 to 2024.05 LC'!$F17-$Q$6)</f>
        <v>#VALUE!</v>
      </c>
      <c r="S12" s="2" t="s">
        <v>20</v>
      </c>
    </row>
    <row r="13" spans="1:19" ht="20.25">
      <c r="C13" s="68"/>
      <c r="D13" s="69" t="s">
        <v>28</v>
      </c>
      <c r="E13" s="402"/>
      <c r="F13" s="90"/>
      <c r="G13" s="100"/>
      <c r="H13" s="90"/>
      <c r="I13" s="100"/>
      <c r="J13" s="90"/>
      <c r="K13" s="100"/>
      <c r="L13" s="55"/>
      <c r="M13" s="55"/>
      <c r="Q13" s="102"/>
      <c r="R13" s="389" t="e">
        <f>MAX(0,'2023.06 to 2024.05 LC'!$F18-$Q$6)</f>
        <v>#VALUE!</v>
      </c>
    </row>
    <row r="14" spans="1:19" ht="18">
      <c r="C14" s="26">
        <f>C11+1</f>
        <v>6</v>
      </c>
      <c r="D14" s="15" t="s">
        <v>29</v>
      </c>
      <c r="E14" s="14"/>
      <c r="F14" s="92"/>
      <c r="G14" s="91">
        <v>150000</v>
      </c>
      <c r="H14" s="91"/>
      <c r="I14" s="91">
        <v>0</v>
      </c>
      <c r="J14" s="93"/>
      <c r="K14" s="91">
        <f>+I14+G14</f>
        <v>150000</v>
      </c>
      <c r="M14" s="465" t="s">
        <v>30</v>
      </c>
      <c r="R14" s="389" t="e">
        <f>MAX(0,'2023.06 to 2024.05 LC'!$F19-$Q$6)</f>
        <v>#VALUE!</v>
      </c>
    </row>
    <row r="15" spans="1:19" ht="18">
      <c r="C15" s="26">
        <f>+C14+1</f>
        <v>7</v>
      </c>
      <c r="D15" s="1144" t="s">
        <v>31</v>
      </c>
      <c r="E15" s="1144"/>
      <c r="F15" s="92"/>
      <c r="G15" s="92">
        <v>0</v>
      </c>
      <c r="H15" s="101"/>
      <c r="I15" s="92">
        <v>0</v>
      </c>
      <c r="J15" s="92"/>
      <c r="K15" s="92">
        <f>+I15+G15</f>
        <v>0</v>
      </c>
      <c r="L15" s="55"/>
      <c r="M15" s="55"/>
      <c r="R15" s="389" t="e">
        <f>MAX(0,'2023.06 to 2024.05 LC'!$F20-$Q$6)</f>
        <v>#VALUE!</v>
      </c>
    </row>
    <row r="16" spans="1:19" ht="18">
      <c r="C16" s="26">
        <f>+C15+1</f>
        <v>8</v>
      </c>
      <c r="D16" s="14" t="s">
        <v>32</v>
      </c>
      <c r="E16" s="14"/>
      <c r="F16" s="95"/>
      <c r="G16" s="95">
        <f>-($R$227*$Q$6)+(-$Q$7)</f>
        <v>-70000</v>
      </c>
      <c r="H16" s="302"/>
      <c r="I16" s="95">
        <v>0</v>
      </c>
      <c r="J16" s="95"/>
      <c r="K16" s="95">
        <f>+I16+G16</f>
        <v>-70000</v>
      </c>
      <c r="L16" s="55"/>
      <c r="M16" s="55"/>
      <c r="Q16" s="102"/>
      <c r="R16" s="389" t="e">
        <f>MAX(0,'2023.06 to 2024.05 LC'!$F21-$Q$6)</f>
        <v>#VALUE!</v>
      </c>
    </row>
    <row r="17" spans="1:18" ht="18">
      <c r="C17" s="26">
        <f>+C16+1</f>
        <v>9</v>
      </c>
      <c r="D17" s="76" t="s">
        <v>33</v>
      </c>
      <c r="E17" s="14"/>
      <c r="F17" s="92"/>
      <c r="G17" s="91" t="e">
        <f ca="1">+G16+G15+G14+G9</f>
        <v>#VALUE!</v>
      </c>
      <c r="H17" s="92"/>
      <c r="I17" s="91">
        <f ca="1">+I16+I15+I14+I9</f>
        <v>3858201.0899999994</v>
      </c>
      <c r="J17" s="92"/>
      <c r="K17" s="91" t="e">
        <f ca="1">+I17+G17</f>
        <v>#VALUE!</v>
      </c>
      <c r="L17" s="55"/>
      <c r="M17" s="55"/>
      <c r="R17" s="389" t="e">
        <f>MAX(0,'2023.06 to 2024.05 LC'!$F22-$Q$6)</f>
        <v>#VALUE!</v>
      </c>
    </row>
    <row r="18" spans="1:18" ht="9" customHeight="1">
      <c r="C18" s="26"/>
      <c r="D18" s="76"/>
      <c r="E18" s="14"/>
      <c r="F18" s="92"/>
      <c r="G18" s="91"/>
      <c r="H18" s="92"/>
      <c r="I18" s="91"/>
      <c r="J18" s="92"/>
      <c r="K18" s="91"/>
      <c r="L18" s="55"/>
      <c r="M18" s="55"/>
      <c r="R18" s="389" t="e">
        <f>MAX(0,'2023.06 to 2024.05 LC'!$F23-$Q$6)</f>
        <v>#VALUE!</v>
      </c>
    </row>
    <row r="19" spans="1:18" ht="18">
      <c r="C19" s="26">
        <f>C17+1</f>
        <v>10</v>
      </c>
      <c r="D19" s="14" t="s">
        <v>34</v>
      </c>
      <c r="E19" s="14"/>
      <c r="F19" s="101"/>
      <c r="G19" s="103">
        <v>0.08</v>
      </c>
      <c r="H19" s="101"/>
      <c r="I19" s="103">
        <v>8.5000000000000006E-2</v>
      </c>
      <c r="J19" s="101"/>
      <c r="K19" s="103" t="e">
        <f ca="1">+((G19*G17)+(I19*I17))/K17</f>
        <v>#VALUE!</v>
      </c>
      <c r="L19" s="55"/>
      <c r="M19" s="55"/>
      <c r="Q19" s="102"/>
      <c r="R19" s="389" t="e">
        <f>MAX(0,'2023.06 to 2024.05 LC'!$F24-$Q$6)</f>
        <v>#VALUE!</v>
      </c>
    </row>
    <row r="20" spans="1:18" ht="18">
      <c r="B20" s="2">
        <v>10</v>
      </c>
      <c r="C20" s="26">
        <f>C19+1</f>
        <v>11</v>
      </c>
      <c r="D20" s="77" t="s">
        <v>35</v>
      </c>
      <c r="F20" s="303"/>
      <c r="G20" s="304">
        <f>(12+(12-COUNT('Medical &amp; Rx Total'!$B$19:$B$30)))+1</f>
        <v>20</v>
      </c>
      <c r="H20" s="305"/>
      <c r="I20" s="304">
        <f>+G20</f>
        <v>20</v>
      </c>
      <c r="J20" s="305"/>
      <c r="K20" s="304">
        <f>+G20</f>
        <v>20</v>
      </c>
      <c r="M20" s="55"/>
      <c r="R20" s="389" t="e">
        <f>MAX(0,'2023.06 to 2024.05 LC'!$F25-$Q$6)</f>
        <v>#VALUE!</v>
      </c>
    </row>
    <row r="21" spans="1:18" s="8" customFormat="1" ht="18">
      <c r="C21" s="26">
        <f>C20+1</f>
        <v>12</v>
      </c>
      <c r="D21" s="78" t="s">
        <v>36</v>
      </c>
      <c r="E21" s="22"/>
      <c r="F21" s="91"/>
      <c r="G21" s="104">
        <f>+((1+G19)^(G20/12))-1</f>
        <v>0.13685809661716242</v>
      </c>
      <c r="H21" s="91"/>
      <c r="I21" s="104">
        <f>+((1+I19)^(I20/12))-1</f>
        <v>0.14564367999814354</v>
      </c>
      <c r="J21" s="91"/>
      <c r="K21" s="104" t="e">
        <f ca="1">+((1+K19)^(K20/12))-1</f>
        <v>#VALUE!</v>
      </c>
      <c r="L21" s="105"/>
      <c r="M21" s="105"/>
      <c r="Q21" s="55"/>
      <c r="R21" s="389" t="e">
        <f>MAX(0,'2023.06 to 2024.05 LC'!$F26-$Q$6)</f>
        <v>#VALUE!</v>
      </c>
    </row>
    <row r="22" spans="1:18" s="8" customFormat="1" ht="18">
      <c r="C22" s="26">
        <f>C21+1</f>
        <v>13</v>
      </c>
      <c r="D22" s="78" t="s">
        <v>37</v>
      </c>
      <c r="E22" s="22"/>
      <c r="F22" s="91"/>
      <c r="G22" s="91" t="e">
        <f ca="1">+(1+G21)*G17</f>
        <v>#VALUE!</v>
      </c>
      <c r="H22" s="91"/>
      <c r="I22" s="91">
        <f ca="1">+(1+I21)*I17</f>
        <v>4420123.6949204477</v>
      </c>
      <c r="J22" s="91"/>
      <c r="K22" s="91" t="e">
        <f ca="1">+I22+G22</f>
        <v>#VALUE!</v>
      </c>
      <c r="L22" s="105"/>
      <c r="M22" s="105"/>
      <c r="Q22" s="102"/>
      <c r="R22" s="389" t="e">
        <f>MAX(0,'2023.06 to 2024.05 LC'!$F27-$Q$6)</f>
        <v>#VALUE!</v>
      </c>
    </row>
    <row r="23" spans="1:18" ht="18">
      <c r="C23" s="26">
        <f>+C22+1</f>
        <v>14</v>
      </c>
      <c r="D23" s="14" t="s">
        <v>38</v>
      </c>
      <c r="E23" s="14"/>
      <c r="F23" s="96"/>
      <c r="G23" s="95">
        <f>-G16</f>
        <v>70000</v>
      </c>
      <c r="H23" s="96"/>
      <c r="I23" s="95">
        <v>0</v>
      </c>
      <c r="J23" s="96"/>
      <c r="K23" s="95">
        <f>+I23+G23</f>
        <v>70000</v>
      </c>
      <c r="L23" s="55"/>
      <c r="M23" s="55"/>
      <c r="R23" s="389" t="e">
        <f>MAX(0,'2023.06 to 2024.05 LC'!$F28-$Q$6)</f>
        <v>#VALUE!</v>
      </c>
    </row>
    <row r="24" spans="1:18" ht="18">
      <c r="C24" s="26">
        <f>C23+1</f>
        <v>15</v>
      </c>
      <c r="D24" s="78" t="s">
        <v>39</v>
      </c>
      <c r="E24" s="23"/>
      <c r="F24" s="92"/>
      <c r="G24" s="91" t="e">
        <f ca="1">+G23+G22</f>
        <v>#VALUE!</v>
      </c>
      <c r="H24" s="92"/>
      <c r="I24" s="91">
        <f ca="1">+I23+I22</f>
        <v>4420123.6949204477</v>
      </c>
      <c r="J24" s="92"/>
      <c r="K24" s="91" t="e">
        <f ca="1">+I24+G24+M24</f>
        <v>#VALUE!</v>
      </c>
      <c r="L24" s="55"/>
      <c r="M24" s="56"/>
      <c r="R24" s="389" t="e">
        <f>MAX(0,'2023.06 to 2024.05 LC'!$F29-$Q$6)</f>
        <v>#VALUE!</v>
      </c>
    </row>
    <row r="25" spans="1:18" ht="18">
      <c r="C25" s="87">
        <f>+C24+1</f>
        <v>16</v>
      </c>
      <c r="D25" s="88" t="s">
        <v>40</v>
      </c>
      <c r="E25" s="6"/>
      <c r="F25" s="98"/>
      <c r="G25" s="97" t="e">
        <f ca="1">+G24/G10</f>
        <v>#VALUE!</v>
      </c>
      <c r="H25" s="98"/>
      <c r="I25" s="97">
        <f ca="1">+I24/I10</f>
        <v>636.17209195746227</v>
      </c>
      <c r="J25" s="98"/>
      <c r="K25" s="97" t="e">
        <f ca="1">+K24/K10</f>
        <v>#VALUE!</v>
      </c>
      <c r="L25" s="55"/>
      <c r="M25" s="55"/>
      <c r="Q25" s="102"/>
      <c r="R25" s="389" t="e">
        <f>MAX(0,'2023.06 to 2024.05 LC'!$F30-$Q$6)</f>
        <v>#VALUE!</v>
      </c>
    </row>
    <row r="26" spans="1:18" ht="18">
      <c r="C26" s="87">
        <f>+C25+1</f>
        <v>17</v>
      </c>
      <c r="D26" s="89" t="s">
        <v>41</v>
      </c>
      <c r="E26" s="6"/>
      <c r="F26" s="103"/>
      <c r="G26" s="104"/>
      <c r="H26" s="103"/>
      <c r="I26" s="104" t="s">
        <v>20</v>
      </c>
      <c r="J26" s="103"/>
      <c r="K26" s="103">
        <v>1</v>
      </c>
      <c r="L26" s="55"/>
      <c r="M26" s="55"/>
      <c r="R26" s="389" t="e">
        <f>MAX(0,'2023.06 to 2024.05 LC'!$F31-$Q$6)</f>
        <v>#VALUE!</v>
      </c>
    </row>
    <row r="27" spans="1:18" ht="16.5" customHeight="1">
      <c r="C27" s="87">
        <f>+C26+1</f>
        <v>18</v>
      </c>
      <c r="D27" s="89" t="s">
        <v>42</v>
      </c>
      <c r="E27" s="6"/>
      <c r="F27" s="92"/>
      <c r="G27" s="91" t="s">
        <v>20</v>
      </c>
      <c r="H27" s="92"/>
      <c r="I27" s="91"/>
      <c r="J27" s="92"/>
      <c r="K27" s="97" t="e">
        <f ca="1">+(K26*K25)</f>
        <v>#VALUE!</v>
      </c>
      <c r="L27" s="55"/>
      <c r="M27" s="55"/>
      <c r="R27" s="389" t="e">
        <f>MAX(0,'2023.06 to 2024.05 LC'!$F32-$Q$6)</f>
        <v>#VALUE!</v>
      </c>
    </row>
    <row r="28" spans="1:18" s="12" customFormat="1" ht="9" customHeight="1">
      <c r="C28" s="79"/>
      <c r="D28" s="80"/>
      <c r="E28" s="81"/>
      <c r="F28" s="94"/>
      <c r="G28" s="93"/>
      <c r="H28" s="94"/>
      <c r="I28" s="93"/>
      <c r="J28" s="94"/>
      <c r="K28" s="93"/>
      <c r="L28" s="99"/>
      <c r="M28" s="99"/>
      <c r="Q28" s="102"/>
      <c r="R28" s="389" t="e">
        <f>MAX(0,'2023.06 to 2024.05 LC'!$F33-$Q$6)</f>
        <v>#VALUE!</v>
      </c>
    </row>
    <row r="29" spans="1:18" ht="20.25">
      <c r="A29" s="11" t="e">
        <f>#REF!</f>
        <v>#REF!</v>
      </c>
      <c r="B29" s="11"/>
      <c r="C29" s="68"/>
      <c r="D29" s="69" t="s">
        <v>43</v>
      </c>
      <c r="E29" s="70"/>
      <c r="F29" s="90"/>
      <c r="G29" s="90"/>
      <c r="H29" s="90"/>
      <c r="I29" s="90"/>
      <c r="J29" s="90"/>
      <c r="K29" s="73"/>
      <c r="L29" s="55"/>
      <c r="M29" s="55"/>
      <c r="R29" s="389" t="e">
        <f>MAX(0,'2023.06 to 2024.05 LC'!$F34-$Q$6)</f>
        <v>#VALUE!</v>
      </c>
    </row>
    <row r="30" spans="1:18" s="8" customFormat="1" ht="18">
      <c r="A30" s="11" t="e">
        <f>#REF!</f>
        <v>#REF!</v>
      </c>
      <c r="B30" s="11"/>
      <c r="C30" s="26">
        <f>+C27+1</f>
        <v>19</v>
      </c>
      <c r="D30" s="13" t="s">
        <v>44</v>
      </c>
      <c r="E30" s="22"/>
      <c r="F30" s="59"/>
      <c r="G30" s="59">
        <f>34.39</f>
        <v>34.39</v>
      </c>
      <c r="H30" s="106"/>
      <c r="I30" s="59">
        <f>5.19*1.05</f>
        <v>5.4495000000000005</v>
      </c>
      <c r="J30" s="59"/>
      <c r="K30" s="59">
        <f t="shared" ref="K30:K35" si="0">SUM(G30:I30)</f>
        <v>39.839500000000001</v>
      </c>
      <c r="L30" s="105"/>
      <c r="M30" s="105"/>
      <c r="Q30" s="55"/>
      <c r="R30" s="389" t="e">
        <f>MAX(0,'2023.06 to 2024.05 LC'!$F35-$Q$6)</f>
        <v>#VALUE!</v>
      </c>
    </row>
    <row r="31" spans="1:18" s="8" customFormat="1" ht="18">
      <c r="A31" s="11"/>
      <c r="B31" s="11"/>
      <c r="C31" s="26">
        <f>+C30+1</f>
        <v>20</v>
      </c>
      <c r="D31" s="13" t="s">
        <v>45</v>
      </c>
      <c r="E31" s="22"/>
      <c r="F31" s="59"/>
      <c r="G31" s="60">
        <v>10</v>
      </c>
      <c r="H31" s="309"/>
      <c r="I31" s="60" t="s">
        <v>46</v>
      </c>
      <c r="J31" s="60"/>
      <c r="K31" s="60">
        <f t="shared" si="0"/>
        <v>10</v>
      </c>
      <c r="L31" s="105"/>
      <c r="M31" s="105"/>
      <c r="Q31" s="55"/>
      <c r="R31" s="389" t="e">
        <f>MAX(0,'2023.06 to 2024.05 LC'!$F36-$Q$6)</f>
        <v>#VALUE!</v>
      </c>
    </row>
    <row r="32" spans="1:18" s="8" customFormat="1" ht="18">
      <c r="A32" s="11"/>
      <c r="B32" s="11"/>
      <c r="C32" s="26">
        <f>+C31+1</f>
        <v>21</v>
      </c>
      <c r="D32" s="13" t="s">
        <v>47</v>
      </c>
      <c r="E32" s="22"/>
      <c r="F32" s="59"/>
      <c r="G32" s="60">
        <f>3.75+0.45+1.35+1</f>
        <v>6.5500000000000007</v>
      </c>
      <c r="H32" s="309"/>
      <c r="I32" s="60" t="s">
        <v>46</v>
      </c>
      <c r="J32" s="60"/>
      <c r="K32" s="60">
        <f t="shared" si="0"/>
        <v>6.5500000000000007</v>
      </c>
      <c r="L32" s="105"/>
      <c r="M32" s="105"/>
      <c r="Q32" s="55"/>
      <c r="R32" s="389" t="e">
        <f>MAX(0,'2023.06 to 2024.05 LC'!$F37-$Q$6)</f>
        <v>#VALUE!</v>
      </c>
    </row>
    <row r="33" spans="1:18" s="8" customFormat="1" ht="18">
      <c r="A33" s="11"/>
      <c r="B33" s="11"/>
      <c r="C33" s="26">
        <f>+C32+1</f>
        <v>22</v>
      </c>
      <c r="D33" s="13" t="s">
        <v>48</v>
      </c>
      <c r="E33" s="22"/>
      <c r="F33" s="59"/>
      <c r="G33" s="60">
        <v>15.17</v>
      </c>
      <c r="H33" s="309"/>
      <c r="I33" s="60" t="s">
        <v>46</v>
      </c>
      <c r="J33" s="60"/>
      <c r="K33" s="60">
        <f t="shared" si="0"/>
        <v>15.17</v>
      </c>
      <c r="L33" s="105"/>
      <c r="M33" s="105"/>
      <c r="Q33" s="55"/>
      <c r="R33" s="389" t="e">
        <f>MAX(0,'2023.06 to 2024.05 LC'!$F38-$Q$6)</f>
        <v>#VALUE!</v>
      </c>
    </row>
    <row r="34" spans="1:18" s="8" customFormat="1" ht="18">
      <c r="A34" s="11"/>
      <c r="B34" s="11"/>
      <c r="C34" s="26">
        <f>+C33+1</f>
        <v>23</v>
      </c>
      <c r="D34" s="15" t="s">
        <v>49</v>
      </c>
      <c r="E34" s="22"/>
      <c r="F34" s="91"/>
      <c r="G34" s="60" t="s">
        <v>46</v>
      </c>
      <c r="H34" s="309"/>
      <c r="I34" s="60">
        <f>-45.29*1.05</f>
        <v>-47.554500000000004</v>
      </c>
      <c r="J34" s="60"/>
      <c r="K34" s="60">
        <f t="shared" si="0"/>
        <v>-47.554500000000004</v>
      </c>
      <c r="L34" s="105"/>
      <c r="M34" s="105"/>
      <c r="Q34" s="102"/>
      <c r="R34" s="389" t="e">
        <f>MAX(0,'2023.06 to 2024.05 LC'!$F39-$Q$6)</f>
        <v>#VALUE!</v>
      </c>
    </row>
    <row r="35" spans="1:18" ht="18">
      <c r="A35" s="11"/>
      <c r="B35" s="11"/>
      <c r="C35" s="26">
        <f>C34+1</f>
        <v>24</v>
      </c>
      <c r="D35" s="22" t="str">
        <f>TEXT(P6,"$#,##0")&amp;" - "&amp;TEXT(Q6,"$#,##0") &amp;"    "&amp;TEXT(P7,"$#,##0")&amp;" - "&amp;TEXT(Q7,"$#,##0")</f>
        <v>Specific Stop-Loss - $150,000    Aggregating Specific - $70,000</v>
      </c>
      <c r="E35" s="22"/>
      <c r="F35" s="107"/>
      <c r="G35" s="108">
        <v>160.05530483814329</v>
      </c>
      <c r="H35" s="109"/>
      <c r="I35" s="108" t="s">
        <v>46</v>
      </c>
      <c r="J35" s="108"/>
      <c r="K35" s="108">
        <f t="shared" si="0"/>
        <v>160.05530483814329</v>
      </c>
      <c r="L35" s="55"/>
      <c r="M35" s="55"/>
      <c r="R35" s="389" t="e">
        <f>MAX(0,'2023.06 to 2024.05 LC'!$F41-$Q$6)</f>
        <v>#VALUE!</v>
      </c>
    </row>
    <row r="36" spans="1:18" s="5" customFormat="1" ht="17.45" customHeight="1">
      <c r="B36" s="9"/>
      <c r="C36" s="26">
        <f>+C35+1</f>
        <v>25</v>
      </c>
      <c r="D36" s="23" t="s">
        <v>50</v>
      </c>
      <c r="E36" s="82"/>
      <c r="F36" s="57"/>
      <c r="G36" s="97">
        <f>SUM(G30:G35)</f>
        <v>226.1653048381433</v>
      </c>
      <c r="H36" s="110"/>
      <c r="I36" s="97">
        <f>SUM(I30:I35)</f>
        <v>-42.105000000000004</v>
      </c>
      <c r="J36" s="110"/>
      <c r="K36" s="97">
        <f>SUM(K30:K35)</f>
        <v>184.06030483814328</v>
      </c>
      <c r="L36" s="111"/>
      <c r="M36" s="306"/>
      <c r="N36" s="307"/>
      <c r="Q36" s="55"/>
      <c r="R36" s="389" t="e">
        <f>MAX(0,'2023.06 to 2024.05 LC'!$F42-$Q$6)</f>
        <v>#VALUE!</v>
      </c>
    </row>
    <row r="37" spans="1:18" ht="9" customHeight="1">
      <c r="C37" s="26"/>
      <c r="D37" s="24"/>
      <c r="E37" s="28"/>
      <c r="F37" s="58"/>
      <c r="G37" s="112"/>
      <c r="H37" s="112"/>
      <c r="I37" s="112"/>
      <c r="J37" s="112"/>
      <c r="K37" s="112"/>
      <c r="L37" s="113"/>
      <c r="M37" s="55"/>
      <c r="R37" s="389"/>
    </row>
    <row r="38" spans="1:18" ht="20.85" customHeight="1">
      <c r="C38" s="68">
        <f>C36+1</f>
        <v>26</v>
      </c>
      <c r="D38" s="69" t="s">
        <v>51</v>
      </c>
      <c r="E38" s="86"/>
      <c r="F38" s="115"/>
      <c r="G38" s="114" t="e">
        <f ca="1">+G36+G25</f>
        <v>#VALUE!</v>
      </c>
      <c r="H38" s="115"/>
      <c r="I38" s="114">
        <f ca="1">+I36+I25</f>
        <v>594.06709195746225</v>
      </c>
      <c r="J38" s="115"/>
      <c r="K38" s="114" t="e">
        <f ca="1">+K36+K27</f>
        <v>#VALUE!</v>
      </c>
      <c r="L38" s="113"/>
      <c r="M38" s="55"/>
      <c r="Q38" s="102"/>
      <c r="R38" s="389"/>
    </row>
    <row r="39" spans="1:18" ht="9" customHeight="1">
      <c r="C39" s="26"/>
      <c r="D39" s="28"/>
      <c r="E39" s="28"/>
      <c r="F39" s="58"/>
      <c r="G39" s="112"/>
      <c r="H39" s="112"/>
      <c r="I39" s="112"/>
      <c r="J39" s="112"/>
      <c r="K39" s="112"/>
      <c r="L39" s="113"/>
      <c r="M39" s="55"/>
      <c r="R39" s="389"/>
    </row>
    <row r="40" spans="1:18" ht="17.45" customHeight="1">
      <c r="C40" s="26">
        <f>+C38+1</f>
        <v>27</v>
      </c>
      <c r="D40" s="23" t="s">
        <v>52</v>
      </c>
      <c r="E40" s="14"/>
      <c r="F40" s="116"/>
      <c r="G40" s="117"/>
      <c r="H40" s="117"/>
      <c r="I40" s="117"/>
      <c r="J40" s="117"/>
      <c r="K40" s="61">
        <f ca="1">(SUM(OFFSET('Medical &amp; Rx Total'!$C$7,COUNT('Medical &amp; Rx Total'!$C$8:$C$30),0,-1)))/(SUM(OFFSET('Medical &amp; Rx Total'!$B$7,COUNT('Medical &amp; Rx Total'!$B$8:$B$30),0,-1)))</f>
        <v>1838.9992140468228</v>
      </c>
      <c r="L40" s="118"/>
      <c r="M40" s="55"/>
      <c r="R40" s="389"/>
    </row>
    <row r="41" spans="1:18" ht="9" customHeight="1">
      <c r="C41" s="26"/>
      <c r="D41" s="28"/>
      <c r="E41" s="28"/>
      <c r="F41" s="58"/>
      <c r="G41" s="58"/>
      <c r="H41" s="58"/>
      <c r="I41" s="58"/>
      <c r="J41" s="58"/>
      <c r="K41" s="58"/>
      <c r="L41" s="113"/>
      <c r="M41" s="55"/>
      <c r="Q41" s="102"/>
      <c r="R41" s="389" t="e">
        <f>MAX(0,'2023.06 to 2024.05 LC'!$F47-$Q$6)</f>
        <v>#VALUE!</v>
      </c>
    </row>
    <row r="42" spans="1:18" ht="20.85" customHeight="1">
      <c r="C42" s="26"/>
      <c r="D42" s="24" t="s">
        <v>53</v>
      </c>
      <c r="E42" s="28"/>
      <c r="F42" s="58"/>
      <c r="G42" s="58"/>
      <c r="H42" s="58"/>
      <c r="I42" s="58"/>
      <c r="J42" s="58"/>
      <c r="K42" s="58" t="s">
        <v>20</v>
      </c>
      <c r="L42" s="113"/>
      <c r="M42" s="55"/>
      <c r="R42" s="389" t="e">
        <f>MAX(0,'2023.06 to 2024.05 LC'!$F48-$Q$6)</f>
        <v>#VALUE!</v>
      </c>
    </row>
    <row r="43" spans="1:18" s="31" customFormat="1" ht="17.45" customHeight="1">
      <c r="C43" s="68">
        <f>+C40+1</f>
        <v>28</v>
      </c>
      <c r="D43" s="69" t="s">
        <v>54</v>
      </c>
      <c r="E43" s="86"/>
      <c r="F43" s="115"/>
      <c r="G43" s="114" t="s">
        <v>20</v>
      </c>
      <c r="H43" s="115"/>
      <c r="I43" s="114"/>
      <c r="J43" s="115"/>
      <c r="K43" s="297" t="e">
        <f ca="1">+K38/K40-1</f>
        <v>#VALUE!</v>
      </c>
      <c r="L43" s="119"/>
      <c r="M43" s="119"/>
      <c r="Q43" s="55"/>
      <c r="R43" s="389" t="e">
        <f>MAX(0,'2023.06 to 2024.05 LC'!$F49-$Q$6)</f>
        <v>#VALUE!</v>
      </c>
    </row>
    <row r="44" spans="1:18" s="16" customFormat="1" ht="17.45" customHeight="1">
      <c r="C44" s="26">
        <f>+C43+1</f>
        <v>29</v>
      </c>
      <c r="D44" s="14" t="s">
        <v>55</v>
      </c>
      <c r="E44" s="14"/>
      <c r="F44" s="30"/>
      <c r="G44" s="120"/>
      <c r="H44" s="30"/>
      <c r="I44" s="120"/>
      <c r="J44" s="30"/>
      <c r="K44" s="120" t="e">
        <f ca="1">+((K27*1.015)+$K$36)/$K$40-1</f>
        <v>#VALUE!</v>
      </c>
      <c r="L44" s="49"/>
      <c r="M44" s="49"/>
      <c r="Q44" s="102"/>
      <c r="R44" s="389" t="e">
        <f>MAX(0,'2023.06 to 2024.05 LC'!$F50-$Q$6)</f>
        <v>#VALUE!</v>
      </c>
    </row>
    <row r="45" spans="1:18" s="16" customFormat="1" ht="17.45" customHeight="1">
      <c r="C45" s="26">
        <f>+C44+1</f>
        <v>30</v>
      </c>
      <c r="D45" s="14" t="s">
        <v>56</v>
      </c>
      <c r="E45" s="14"/>
      <c r="F45" s="30"/>
      <c r="G45" s="120"/>
      <c r="H45" s="30"/>
      <c r="I45" s="120"/>
      <c r="J45" s="30"/>
      <c r="K45" s="120" t="e">
        <f ca="1">+((K27*1.03)+$K$36)/$K$40-1</f>
        <v>#VALUE!</v>
      </c>
      <c r="L45" s="49"/>
      <c r="M45" s="49"/>
      <c r="Q45" s="55"/>
      <c r="R45" s="389" t="e">
        <f>MAX(0,'2023.06 to 2024.05 LC'!$F51-$Q$6)</f>
        <v>#VALUE!</v>
      </c>
    </row>
    <row r="46" spans="1:18" s="16" customFormat="1" ht="17.45" customHeight="1">
      <c r="C46" s="26">
        <f>+C45+1</f>
        <v>31</v>
      </c>
      <c r="D46" s="14" t="s">
        <v>57</v>
      </c>
      <c r="E46" s="14"/>
      <c r="F46" s="30"/>
      <c r="G46" s="30"/>
      <c r="H46" s="30"/>
      <c r="I46" s="30"/>
      <c r="J46" s="30"/>
      <c r="K46" s="120" t="e">
        <f ca="1">+((K27*1.05)+$K$36)/$K$40-1</f>
        <v>#VALUE!</v>
      </c>
      <c r="L46" s="49"/>
      <c r="M46" s="49"/>
      <c r="Q46" s="55"/>
      <c r="R46" s="389" t="e">
        <f>MAX(0,'2023.06 to 2024.05 LC'!$F52-$Q$6)</f>
        <v>#VALUE!</v>
      </c>
    </row>
    <row r="47" spans="1:18" hidden="1">
      <c r="C47" s="83">
        <f>+C46+1</f>
        <v>32</v>
      </c>
      <c r="D47" s="84" t="s">
        <v>58</v>
      </c>
      <c r="E47" s="84"/>
      <c r="F47" s="121"/>
      <c r="G47" s="121"/>
      <c r="H47" s="121"/>
      <c r="I47" s="121"/>
      <c r="J47" s="121"/>
      <c r="K47" s="122" t="e">
        <f ca="1">+K44</f>
        <v>#VALUE!</v>
      </c>
      <c r="L47" s="55"/>
      <c r="M47" s="55"/>
      <c r="Q47" s="102"/>
      <c r="R47" s="389" t="e">
        <f>MAX(0,'2023.06 to 2024.05 LC'!$F53-$Q$6)</f>
        <v>#VALUE!</v>
      </c>
    </row>
    <row r="48" spans="1:18">
      <c r="C48" s="85"/>
      <c r="F48" s="55"/>
      <c r="G48" s="55"/>
      <c r="H48" s="55"/>
      <c r="I48" s="55"/>
      <c r="J48" s="55"/>
      <c r="K48" s="55" t="s">
        <v>20</v>
      </c>
      <c r="L48" s="55"/>
      <c r="M48" s="55"/>
      <c r="R48" s="389" t="e">
        <f>MAX(0,'2023.06 to 2024.05 LC'!$F54-$Q$6)</f>
        <v>#VALUE!</v>
      </c>
    </row>
    <row r="49" spans="3:18">
      <c r="C49" s="85" t="s">
        <v>59</v>
      </c>
      <c r="F49" s="55"/>
      <c r="G49" s="55"/>
      <c r="H49" s="55"/>
      <c r="I49" s="55"/>
      <c r="J49" s="55"/>
      <c r="K49" s="123"/>
      <c r="L49" s="55"/>
      <c r="M49" s="55"/>
      <c r="R49" s="389" t="e">
        <f>MAX(0,'2023.06 to 2024.05 LC'!$F55-$Q$6)</f>
        <v>#VALUE!</v>
      </c>
    </row>
    <row r="50" spans="3:18">
      <c r="C50" s="85"/>
      <c r="F50" s="55"/>
      <c r="G50" s="55"/>
      <c r="H50" s="55"/>
      <c r="I50" s="55"/>
      <c r="J50" s="55"/>
      <c r="K50" s="124"/>
      <c r="L50" s="55"/>
      <c r="M50" s="55"/>
      <c r="Q50" s="102"/>
      <c r="R50" s="389" t="e">
        <f>MAX(0,'2023.06 to 2024.05 LC'!$F56-$Q$6)</f>
        <v>#VALUE!</v>
      </c>
    </row>
    <row r="51" spans="3:18">
      <c r="F51" s="55"/>
      <c r="G51" s="55"/>
      <c r="H51" s="55"/>
      <c r="I51" s="55"/>
      <c r="J51" s="55"/>
      <c r="K51" s="55"/>
      <c r="L51" s="55"/>
      <c r="M51" s="55"/>
      <c r="R51" s="389" t="e">
        <f>MAX(0,'2023.06 to 2024.05 LC'!$F57-$Q$6)</f>
        <v>#VALUE!</v>
      </c>
    </row>
    <row r="52" spans="3:18">
      <c r="F52" s="55"/>
      <c r="G52" s="55"/>
      <c r="H52" s="55"/>
      <c r="I52" s="55"/>
      <c r="J52" s="55"/>
      <c r="K52" s="55"/>
      <c r="L52" s="55"/>
      <c r="M52" s="55"/>
      <c r="R52" s="389" t="e">
        <f>MAX(0,'2023.06 to 2024.05 LC'!$F58-$Q$6)</f>
        <v>#VALUE!</v>
      </c>
    </row>
    <row r="53" spans="3:18">
      <c r="F53" s="55"/>
      <c r="G53" s="55"/>
      <c r="H53" s="55"/>
      <c r="I53" s="55"/>
      <c r="J53" s="55"/>
      <c r="K53" s="55"/>
      <c r="L53" s="55"/>
      <c r="M53" s="55"/>
      <c r="Q53" s="102"/>
      <c r="R53" s="389" t="e">
        <f>MAX(0,'2023.06 to 2024.05 LC'!$F59-$Q$6)</f>
        <v>#VALUE!</v>
      </c>
    </row>
    <row r="54" spans="3:18">
      <c r="F54" s="55"/>
      <c r="G54" s="55"/>
      <c r="H54" s="55"/>
      <c r="I54" s="55"/>
      <c r="J54" s="55"/>
      <c r="K54" s="55"/>
      <c r="L54" s="55"/>
      <c r="M54" s="55"/>
      <c r="R54" s="389" t="e">
        <f>MAX(0,'2023.06 to 2024.05 LC'!$F60-$Q$6)</f>
        <v>#VALUE!</v>
      </c>
    </row>
    <row r="55" spans="3:18">
      <c r="F55" s="55"/>
      <c r="G55" s="55"/>
      <c r="H55" s="55"/>
      <c r="I55" s="55"/>
      <c r="J55" s="55"/>
      <c r="K55" s="55"/>
      <c r="L55" s="55"/>
      <c r="M55" s="55"/>
      <c r="R55" s="389" t="e">
        <f>MAX(0,'2023.06 to 2024.05 LC'!$F61-$Q$6)</f>
        <v>#VALUE!</v>
      </c>
    </row>
    <row r="56" spans="3:18">
      <c r="F56" s="55"/>
      <c r="G56" s="55"/>
      <c r="H56" s="55"/>
      <c r="I56" s="55"/>
      <c r="J56" s="55"/>
      <c r="K56" s="55"/>
      <c r="L56" s="55"/>
      <c r="M56" s="55"/>
      <c r="Q56" s="102"/>
      <c r="R56" s="389" t="e">
        <f>MAX(0,'2023.06 to 2024.05 LC'!$F62-$Q$6)</f>
        <v>#VALUE!</v>
      </c>
    </row>
    <row r="57" spans="3:18">
      <c r="F57" s="55"/>
      <c r="G57" s="55"/>
      <c r="H57" s="55"/>
      <c r="I57" s="55"/>
      <c r="J57" s="55"/>
      <c r="K57" s="55"/>
      <c r="L57" s="55"/>
      <c r="M57" s="55"/>
      <c r="R57" s="389" t="e">
        <f>MAX(0,'2023.06 to 2024.05 LC'!$F63-$Q$6)</f>
        <v>#VALUE!</v>
      </c>
    </row>
    <row r="58" spans="3:18">
      <c r="F58" s="55"/>
      <c r="G58" s="55"/>
      <c r="H58" s="55"/>
      <c r="I58" s="55"/>
      <c r="J58" s="55"/>
      <c r="K58" s="55"/>
      <c r="L58" s="55"/>
      <c r="M58" s="55"/>
      <c r="R58" s="389" t="e">
        <f>MAX(0,'2023.06 to 2024.05 LC'!$F64-$Q$6)</f>
        <v>#VALUE!</v>
      </c>
    </row>
    <row r="59" spans="3:18">
      <c r="F59" s="55"/>
      <c r="G59" s="55"/>
      <c r="H59" s="55"/>
      <c r="I59" s="99"/>
      <c r="J59" s="99"/>
      <c r="K59" s="55"/>
      <c r="L59" s="55"/>
      <c r="M59" s="55"/>
      <c r="Q59" s="102"/>
      <c r="R59" s="389" t="e">
        <f>MAX(0,'2023.06 to 2024.05 LC'!$F65-$Q$6)</f>
        <v>#VALUE!</v>
      </c>
    </row>
    <row r="60" spans="3:18">
      <c r="F60" s="55"/>
      <c r="G60" s="55"/>
      <c r="H60" s="55"/>
      <c r="I60" s="99"/>
      <c r="J60" s="99"/>
      <c r="K60" s="55"/>
      <c r="L60" s="55"/>
      <c r="M60" s="55"/>
      <c r="R60" s="389" t="e">
        <f>MAX(0,'2023.06 to 2024.05 LC'!$F66-$Q$6)</f>
        <v>#VALUE!</v>
      </c>
    </row>
    <row r="61" spans="3:18">
      <c r="F61" s="55"/>
      <c r="G61" s="55"/>
      <c r="H61" s="55"/>
      <c r="I61" s="99"/>
      <c r="J61" s="99"/>
      <c r="K61" s="55"/>
      <c r="L61" s="55"/>
      <c r="M61" s="55"/>
      <c r="R61" s="389" t="e">
        <f>MAX(0,'2023.06 to 2024.05 LC'!$F67-$Q$6)</f>
        <v>#VALUE!</v>
      </c>
    </row>
    <row r="62" spans="3:18">
      <c r="F62" s="55"/>
      <c r="G62" s="55"/>
      <c r="H62" s="55"/>
      <c r="I62" s="55"/>
      <c r="J62" s="55"/>
      <c r="K62" s="55"/>
      <c r="L62" s="55"/>
      <c r="M62" s="55"/>
      <c r="Q62" s="102"/>
      <c r="R62" s="389" t="e">
        <f>MAX(0,'2023.06 to 2024.05 LC'!$F68-$Q$6)</f>
        <v>#VALUE!</v>
      </c>
    </row>
    <row r="63" spans="3:18">
      <c r="F63" s="55"/>
      <c r="G63" s="55"/>
      <c r="H63" s="55"/>
      <c r="I63" s="55"/>
      <c r="J63" s="55"/>
      <c r="K63" s="55"/>
      <c r="L63" s="55"/>
      <c r="M63" s="55"/>
      <c r="R63" s="389" t="e">
        <f>MAX(0,'2023.06 to 2024.05 LC'!$F69-$Q$6)</f>
        <v>#VALUE!</v>
      </c>
    </row>
    <row r="64" spans="3:18">
      <c r="F64" s="55"/>
      <c r="G64" s="55"/>
      <c r="H64" s="55"/>
      <c r="I64" s="55"/>
      <c r="J64" s="55"/>
      <c r="K64" s="99"/>
      <c r="L64" s="55"/>
      <c r="M64" s="55"/>
      <c r="R64" s="389" t="e">
        <f>MAX(0,'2023.06 to 2024.05 LC'!$F70-$Q$6)</f>
        <v>#VALUE!</v>
      </c>
    </row>
    <row r="65" spans="6:18">
      <c r="F65" s="55"/>
      <c r="G65" s="55"/>
      <c r="H65" s="55"/>
      <c r="I65" s="55"/>
      <c r="J65" s="55"/>
      <c r="K65" s="55"/>
      <c r="L65" s="55"/>
      <c r="M65" s="55"/>
      <c r="Q65" s="102"/>
      <c r="R65" s="389" t="e">
        <f>MAX(0,'2023.06 to 2024.05 LC'!$F71-$Q$6)</f>
        <v>#VALUE!</v>
      </c>
    </row>
    <row r="66" spans="6:18">
      <c r="F66" s="55"/>
      <c r="G66" s="55"/>
      <c r="H66" s="55"/>
      <c r="I66" s="55"/>
      <c r="J66" s="55"/>
      <c r="K66" s="55"/>
      <c r="L66" s="55"/>
      <c r="M66" s="55"/>
      <c r="R66" s="389" t="e">
        <f>MAX(0,'2023.06 to 2024.05 LC'!$F72-$Q$6)</f>
        <v>#VALUE!</v>
      </c>
    </row>
    <row r="67" spans="6:18">
      <c r="F67" s="55"/>
      <c r="G67" s="55"/>
      <c r="H67" s="55"/>
      <c r="I67" s="55"/>
      <c r="J67" s="55"/>
      <c r="K67" s="55"/>
      <c r="L67" s="55"/>
      <c r="M67" s="55"/>
      <c r="R67" s="389" t="e">
        <f>MAX(0,'2023.06 to 2024.05 LC'!$F73-$Q$6)</f>
        <v>#VALUE!</v>
      </c>
    </row>
    <row r="68" spans="6:18">
      <c r="F68" s="55"/>
      <c r="G68" s="55"/>
      <c r="H68" s="55"/>
      <c r="I68" s="55"/>
      <c r="J68" s="55"/>
      <c r="K68" s="55"/>
      <c r="L68" s="55"/>
      <c r="M68" s="55"/>
      <c r="Q68" s="102"/>
      <c r="R68" s="389" t="e">
        <f>MAX(0,'2023.06 to 2024.05 LC'!$F74-$Q$6)</f>
        <v>#VALUE!</v>
      </c>
    </row>
    <row r="69" spans="6:18">
      <c r="F69" s="55"/>
      <c r="G69" s="55"/>
      <c r="H69" s="55"/>
      <c r="I69" s="55"/>
      <c r="J69" s="55"/>
      <c r="K69" s="55"/>
      <c r="L69" s="55"/>
      <c r="M69" s="55"/>
      <c r="R69" s="389" t="e">
        <f>MAX(0,'2023.06 to 2024.05 LC'!$F75-$Q$6)</f>
        <v>#VALUE!</v>
      </c>
    </row>
    <row r="70" spans="6:18">
      <c r="F70" s="55"/>
      <c r="G70" s="55"/>
      <c r="H70" s="55"/>
      <c r="I70" s="55"/>
      <c r="J70" s="55"/>
      <c r="K70" s="55"/>
      <c r="L70" s="55"/>
      <c r="M70" s="55"/>
      <c r="R70" s="389" t="e">
        <f>MAX(0,'2023.06 to 2024.05 LC'!$F76-$Q$6)</f>
        <v>#VALUE!</v>
      </c>
    </row>
    <row r="71" spans="6:18">
      <c r="F71" s="55"/>
      <c r="G71" s="55"/>
      <c r="H71" s="55"/>
      <c r="I71" s="55"/>
      <c r="J71" s="55"/>
      <c r="K71" s="55"/>
      <c r="L71" s="55"/>
      <c r="M71" s="55"/>
      <c r="Q71" s="102"/>
      <c r="R71" s="389" t="e">
        <f>MAX(0,'2023.06 to 2024.05 LC'!$F77-$Q$6)</f>
        <v>#VALUE!</v>
      </c>
    </row>
    <row r="72" spans="6:18">
      <c r="F72" s="55"/>
      <c r="G72" s="55"/>
      <c r="H72" s="55"/>
      <c r="I72" s="55"/>
      <c r="J72" s="55"/>
      <c r="K72" s="55"/>
      <c r="L72" s="55"/>
      <c r="M72" s="55"/>
      <c r="R72" s="389" t="e">
        <f>MAX(0,'2023.06 to 2024.05 LC'!$F78-$Q$6)</f>
        <v>#VALUE!</v>
      </c>
    </row>
    <row r="73" spans="6:18">
      <c r="F73" s="55"/>
      <c r="G73" s="55"/>
      <c r="H73" s="55"/>
      <c r="I73" s="55"/>
      <c r="J73" s="55"/>
      <c r="K73" s="55"/>
      <c r="L73" s="55"/>
      <c r="M73" s="55"/>
      <c r="R73" s="389" t="e">
        <f>MAX(0,'2023.06 to 2024.05 LC'!$F79-$Q$6)</f>
        <v>#VALUE!</v>
      </c>
    </row>
    <row r="74" spans="6:18">
      <c r="F74" s="55"/>
      <c r="G74" s="55"/>
      <c r="H74" s="55"/>
      <c r="I74" s="55"/>
      <c r="J74" s="55"/>
      <c r="K74" s="55"/>
      <c r="L74" s="55"/>
      <c r="M74" s="55"/>
      <c r="Q74" s="102"/>
      <c r="R74" s="389" t="e">
        <f>MAX(0,'2023.06 to 2024.05 LC'!$F80-$Q$6)</f>
        <v>#VALUE!</v>
      </c>
    </row>
    <row r="75" spans="6:18">
      <c r="F75" s="55"/>
      <c r="G75" s="55"/>
      <c r="H75" s="55"/>
      <c r="I75" s="55"/>
      <c r="J75" s="55"/>
      <c r="K75" s="55"/>
      <c r="L75" s="55"/>
      <c r="M75" s="55"/>
      <c r="R75" s="389" t="e">
        <f>MAX(0,'2023.06 to 2024.05 LC'!$F81-$Q$6)</f>
        <v>#VALUE!</v>
      </c>
    </row>
    <row r="76" spans="6:18">
      <c r="F76" s="55"/>
      <c r="G76" s="55"/>
      <c r="H76" s="55"/>
      <c r="I76" s="55"/>
      <c r="J76" s="55"/>
      <c r="K76" s="55"/>
      <c r="L76" s="55"/>
      <c r="M76" s="55"/>
      <c r="R76" s="389" t="e">
        <f>MAX(0,'2023.06 to 2024.05 LC'!$F82-$Q$6)</f>
        <v>#VALUE!</v>
      </c>
    </row>
    <row r="77" spans="6:18">
      <c r="F77" s="55"/>
      <c r="G77" s="55"/>
      <c r="H77" s="55"/>
      <c r="I77" s="55"/>
      <c r="J77" s="55"/>
      <c r="K77" s="55"/>
      <c r="L77" s="55"/>
      <c r="M77" s="55"/>
      <c r="Q77" s="102"/>
      <c r="R77" s="389" t="e">
        <f>MAX(0,'2023.06 to 2024.05 LC'!$F83-$Q$6)</f>
        <v>#VALUE!</v>
      </c>
    </row>
    <row r="78" spans="6:18">
      <c r="F78" s="55"/>
      <c r="G78" s="55"/>
      <c r="H78" s="55"/>
      <c r="I78" s="55"/>
      <c r="J78" s="55"/>
      <c r="K78" s="55"/>
      <c r="L78" s="55"/>
      <c r="M78" s="55"/>
      <c r="R78" s="389" t="e">
        <f>MAX(0,'2023.06 to 2024.05 LC'!$F84-$Q$6)</f>
        <v>#VALUE!</v>
      </c>
    </row>
    <row r="79" spans="6:18">
      <c r="F79" s="55"/>
      <c r="G79" s="55"/>
      <c r="H79" s="55"/>
      <c r="I79" s="55"/>
      <c r="J79" s="55"/>
      <c r="K79" s="55"/>
      <c r="L79" s="55"/>
      <c r="M79" s="55"/>
      <c r="R79" s="389" t="e">
        <f>MAX(0,'2023.06 to 2024.05 LC'!$F85-$Q$6)</f>
        <v>#VALUE!</v>
      </c>
    </row>
    <row r="80" spans="6:18">
      <c r="F80" s="55"/>
      <c r="G80" s="55"/>
      <c r="H80" s="55"/>
      <c r="I80" s="55"/>
      <c r="J80" s="55"/>
      <c r="K80" s="55"/>
      <c r="L80" s="55"/>
      <c r="M80" s="55"/>
      <c r="Q80" s="102"/>
      <c r="R80" s="389" t="e">
        <f>MAX(0,'2023.06 to 2024.05 LC'!$F86-$Q$6)</f>
        <v>#VALUE!</v>
      </c>
    </row>
    <row r="81" spans="6:18">
      <c r="F81" s="55"/>
      <c r="G81" s="55"/>
      <c r="H81" s="55"/>
      <c r="I81" s="55"/>
      <c r="J81" s="55"/>
      <c r="K81" s="55"/>
      <c r="L81" s="55"/>
      <c r="M81" s="55"/>
      <c r="R81" s="389" t="e">
        <f>MAX(0,'2023.06 to 2024.05 LC'!$F87-$Q$6)</f>
        <v>#VALUE!</v>
      </c>
    </row>
    <row r="82" spans="6:18">
      <c r="H82" s="2"/>
      <c r="R82" s="389" t="e">
        <f>MAX(0,'2023.06 to 2024.05 LC'!$F88-$Q$6)</f>
        <v>#VALUE!</v>
      </c>
    </row>
    <row r="83" spans="6:18">
      <c r="H83" s="2"/>
      <c r="Q83" s="102"/>
      <c r="R83" s="389" t="e">
        <f>MAX(0,'2023.06 to 2024.05 LC'!$F89-$Q$6)</f>
        <v>#VALUE!</v>
      </c>
    </row>
    <row r="84" spans="6:18">
      <c r="H84" s="2"/>
      <c r="R84" s="389" t="e">
        <f>MAX(0,'2023.06 to 2024.05 LC'!$F90-$Q$6)</f>
        <v>#VALUE!</v>
      </c>
    </row>
    <row r="85" spans="6:18">
      <c r="H85" s="2"/>
      <c r="R85" s="389" t="e">
        <f>MAX(0,'2023.06 to 2024.05 LC'!$F91-$Q$6)</f>
        <v>#VALUE!</v>
      </c>
    </row>
    <row r="86" spans="6:18">
      <c r="H86" s="2"/>
      <c r="Q86" s="102"/>
      <c r="R86" s="389" t="e">
        <f>MAX(0,'2023.06 to 2024.05 LC'!$F92-$Q$6)</f>
        <v>#VALUE!</v>
      </c>
    </row>
    <row r="87" spans="6:18">
      <c r="H87" s="2"/>
      <c r="R87" s="389" t="e">
        <f>MAX(0,'2023.06 to 2024.05 LC'!$F93-$Q$6)</f>
        <v>#VALUE!</v>
      </c>
    </row>
    <row r="88" spans="6:18">
      <c r="H88" s="2"/>
      <c r="R88" s="389" t="e">
        <f>MAX(0,'2023.06 to 2024.05 LC'!$F94-$Q$6)</f>
        <v>#VALUE!</v>
      </c>
    </row>
    <row r="89" spans="6:18">
      <c r="H89" s="2"/>
      <c r="Q89" s="102"/>
      <c r="R89" s="389" t="e">
        <f>MAX(0,'2023.06 to 2024.05 LC'!$F95-$Q$6)</f>
        <v>#VALUE!</v>
      </c>
    </row>
    <row r="90" spans="6:18">
      <c r="H90" s="2"/>
      <c r="R90" s="389" t="e">
        <f>MAX(0,'2023.06 to 2024.05 LC'!$F96-$Q$6)</f>
        <v>#VALUE!</v>
      </c>
    </row>
    <row r="91" spans="6:18">
      <c r="H91" s="2"/>
      <c r="R91" s="389" t="e">
        <f>MAX(0,'2023.06 to 2024.05 LC'!$F97-$Q$6)</f>
        <v>#VALUE!</v>
      </c>
    </row>
    <row r="92" spans="6:18">
      <c r="H92" s="2"/>
      <c r="Q92" s="102"/>
      <c r="R92" s="389" t="e">
        <f>MAX(0,'2023.06 to 2024.05 LC'!$F98-$Q$6)</f>
        <v>#VALUE!</v>
      </c>
    </row>
    <row r="93" spans="6:18">
      <c r="H93" s="2"/>
      <c r="R93" s="389" t="e">
        <f>MAX(0,'2023.06 to 2024.05 LC'!$F99-$Q$6)</f>
        <v>#VALUE!</v>
      </c>
    </row>
    <row r="94" spans="6:18">
      <c r="H94" s="2"/>
      <c r="R94" s="389" t="e">
        <f>MAX(0,'2023.06 to 2024.05 LC'!$F100-$Q$6)</f>
        <v>#VALUE!</v>
      </c>
    </row>
    <row r="95" spans="6:18">
      <c r="H95" s="2"/>
      <c r="Q95" s="102"/>
      <c r="R95" s="389" t="e">
        <f>MAX(0,'2023.06 to 2024.05 LC'!$F101-$Q$6)</f>
        <v>#VALUE!</v>
      </c>
    </row>
    <row r="96" spans="6:18">
      <c r="H96" s="2"/>
      <c r="R96" s="389" t="e">
        <f>MAX(0,'2023.06 to 2024.05 LC'!$F102-$Q$6)</f>
        <v>#VALUE!</v>
      </c>
    </row>
    <row r="97" spans="8:18">
      <c r="H97" s="2"/>
      <c r="R97" s="389" t="e">
        <f>MAX(0,'2023.06 to 2024.05 LC'!$F103-$Q$6)</f>
        <v>#VALUE!</v>
      </c>
    </row>
    <row r="98" spans="8:18">
      <c r="H98" s="2"/>
      <c r="Q98" s="102"/>
      <c r="R98" s="389" t="e">
        <f>MAX(0,'2023.06 to 2024.05 LC'!$F104-$Q$6)</f>
        <v>#VALUE!</v>
      </c>
    </row>
    <row r="99" spans="8:18">
      <c r="H99" s="2"/>
      <c r="R99" s="389" t="e">
        <f>MAX(0,'2023.06 to 2024.05 LC'!$F105-$Q$6)</f>
        <v>#VALUE!</v>
      </c>
    </row>
    <row r="100" spans="8:18">
      <c r="H100" s="2"/>
      <c r="R100" s="389" t="e">
        <f>MAX(0,'2023.06 to 2024.05 LC'!$F106-$Q$6)</f>
        <v>#VALUE!</v>
      </c>
    </row>
    <row r="101" spans="8:18">
      <c r="H101" s="2"/>
      <c r="Q101" s="102"/>
      <c r="R101" s="389" t="e">
        <f>MAX(0,'2023.06 to 2024.05 LC'!$F107-$Q$6)</f>
        <v>#VALUE!</v>
      </c>
    </row>
    <row r="102" spans="8:18">
      <c r="H102" s="2"/>
      <c r="R102" s="389" t="e">
        <f>MAX(0,'2023.06 to 2024.05 LC'!$F108-$Q$6)</f>
        <v>#VALUE!</v>
      </c>
    </row>
    <row r="103" spans="8:18">
      <c r="H103" s="2"/>
      <c r="R103" s="389" t="e">
        <f>MAX(0,'2023.06 to 2024.05 LC'!$F109-$Q$6)</f>
        <v>#VALUE!</v>
      </c>
    </row>
    <row r="104" spans="8:18">
      <c r="H104" s="2"/>
      <c r="Q104" s="102"/>
      <c r="R104" s="389" t="e">
        <f>MAX(0,'2023.06 to 2024.05 LC'!$F110-$Q$6)</f>
        <v>#VALUE!</v>
      </c>
    </row>
    <row r="105" spans="8:18">
      <c r="H105" s="2"/>
      <c r="R105" s="389" t="e">
        <f>MAX(0,'2023.06 to 2024.05 LC'!$F111-$Q$6)</f>
        <v>#VALUE!</v>
      </c>
    </row>
    <row r="106" spans="8:18">
      <c r="H106" s="2"/>
      <c r="R106" s="389" t="e">
        <f>MAX(0,'2023.06 to 2024.05 LC'!$F112-$Q$6)</f>
        <v>#VALUE!</v>
      </c>
    </row>
    <row r="107" spans="8:18">
      <c r="H107" s="2"/>
      <c r="Q107" s="102"/>
      <c r="R107" s="389" t="e">
        <f>MAX(0,'2023.06 to 2024.05 LC'!$F113-$Q$6)</f>
        <v>#VALUE!</v>
      </c>
    </row>
    <row r="108" spans="8:18">
      <c r="H108" s="2"/>
      <c r="R108" s="389" t="e">
        <f>MAX(0,'2023.06 to 2024.05 LC'!$F114-$Q$6)</f>
        <v>#VALUE!</v>
      </c>
    </row>
    <row r="109" spans="8:18">
      <c r="H109" s="2"/>
      <c r="R109" s="389" t="e">
        <f>MAX(0,'2023.06 to 2024.05 LC'!$F115-$Q$6)</f>
        <v>#VALUE!</v>
      </c>
    </row>
    <row r="110" spans="8:18">
      <c r="H110" s="2"/>
      <c r="Q110" s="102"/>
      <c r="R110" s="389" t="e">
        <f>MAX(0,'2023.06 to 2024.05 LC'!$F116-$Q$6)</f>
        <v>#VALUE!</v>
      </c>
    </row>
    <row r="111" spans="8:18">
      <c r="H111" s="2"/>
      <c r="R111" s="389" t="e">
        <f>MAX(0,'2023.06 to 2024.05 LC'!$F117-$Q$6)</f>
        <v>#VALUE!</v>
      </c>
    </row>
    <row r="112" spans="8:18">
      <c r="H112" s="2"/>
      <c r="R112" s="389" t="e">
        <f>MAX(0,'2023.06 to 2024.05 LC'!$F118-$Q$6)</f>
        <v>#VALUE!</v>
      </c>
    </row>
    <row r="113" spans="8:18">
      <c r="H113" s="2"/>
      <c r="Q113" s="102"/>
      <c r="R113" s="389" t="e">
        <f>MAX(0,'2023.06 to 2024.05 LC'!$F119-$Q$6)</f>
        <v>#VALUE!</v>
      </c>
    </row>
    <row r="114" spans="8:18">
      <c r="H114" s="2"/>
      <c r="R114" s="389" t="e">
        <f>MAX(0,'2023.06 to 2024.05 LC'!$F120-$Q$6)</f>
        <v>#VALUE!</v>
      </c>
    </row>
    <row r="115" spans="8:18">
      <c r="H115" s="2"/>
      <c r="R115" s="389" t="e">
        <f>MAX(0,'2023.06 to 2024.05 LC'!$F121-$Q$6)</f>
        <v>#VALUE!</v>
      </c>
    </row>
    <row r="116" spans="8:18">
      <c r="H116" s="2"/>
      <c r="Q116" s="102"/>
      <c r="R116" s="389" t="e">
        <f>MAX(0,'2023.06 to 2024.05 LC'!$F122-$Q$6)</f>
        <v>#VALUE!</v>
      </c>
    </row>
    <row r="117" spans="8:18">
      <c r="H117" s="2"/>
      <c r="R117" s="389" t="e">
        <f>MAX(0,'2023.06 to 2024.05 LC'!$F123-$Q$6)</f>
        <v>#VALUE!</v>
      </c>
    </row>
    <row r="118" spans="8:18">
      <c r="H118" s="2"/>
      <c r="R118" s="389" t="e">
        <f>MAX(0,'2023.06 to 2024.05 LC'!$F124-$Q$6)</f>
        <v>#VALUE!</v>
      </c>
    </row>
    <row r="119" spans="8:18">
      <c r="H119" s="2"/>
      <c r="Q119" s="102"/>
      <c r="R119" s="389" t="e">
        <f>MAX(0,'2023.06 to 2024.05 LC'!$F125-$Q$6)</f>
        <v>#VALUE!</v>
      </c>
    </row>
    <row r="120" spans="8:18">
      <c r="H120" s="2"/>
      <c r="R120" s="389" t="e">
        <f>MAX(0,'2023.06 to 2024.05 LC'!$F126-$Q$6)</f>
        <v>#VALUE!</v>
      </c>
    </row>
    <row r="121" spans="8:18">
      <c r="H121" s="2"/>
      <c r="R121" s="389" t="e">
        <f>MAX(0,'2023.06 to 2024.05 LC'!$F127-$Q$6)</f>
        <v>#VALUE!</v>
      </c>
    </row>
    <row r="122" spans="8:18">
      <c r="H122" s="2"/>
      <c r="Q122" s="102"/>
      <c r="R122" s="389" t="e">
        <f>MAX(0,'2023.06 to 2024.05 LC'!$F128-$Q$6)</f>
        <v>#VALUE!</v>
      </c>
    </row>
    <row r="123" spans="8:18">
      <c r="H123" s="2"/>
      <c r="R123" s="389" t="e">
        <f>MAX(0,'2023.06 to 2024.05 LC'!$F129-$Q$6)</f>
        <v>#VALUE!</v>
      </c>
    </row>
    <row r="124" spans="8:18">
      <c r="H124" s="2"/>
      <c r="R124" s="389" t="e">
        <f>MAX(0,'2023.06 to 2024.05 LC'!$F130-$Q$6)</f>
        <v>#VALUE!</v>
      </c>
    </row>
    <row r="125" spans="8:18">
      <c r="H125" s="2"/>
      <c r="Q125" s="102"/>
      <c r="R125" s="389" t="e">
        <f>MAX(0,'2023.06 to 2024.05 LC'!$F131-$Q$6)</f>
        <v>#VALUE!</v>
      </c>
    </row>
    <row r="126" spans="8:18">
      <c r="H126" s="2"/>
      <c r="R126" s="389" t="e">
        <f>MAX(0,'2023.06 to 2024.05 LC'!$F132-$Q$6)</f>
        <v>#VALUE!</v>
      </c>
    </row>
    <row r="127" spans="8:18">
      <c r="H127" s="2"/>
      <c r="R127" s="389" t="e">
        <f>MAX(0,'2023.06 to 2024.05 LC'!$F133-$Q$6)</f>
        <v>#VALUE!</v>
      </c>
    </row>
    <row r="128" spans="8:18">
      <c r="H128" s="2"/>
      <c r="Q128" s="102"/>
      <c r="R128" s="389" t="e">
        <f>MAX(0,'2023.06 to 2024.05 LC'!$F134-$Q$6)</f>
        <v>#VALUE!</v>
      </c>
    </row>
    <row r="129" spans="8:18">
      <c r="H129" s="2"/>
      <c r="R129" s="389" t="e">
        <f>MAX(0,'2023.06 to 2024.05 LC'!$F135-$Q$6)</f>
        <v>#VALUE!</v>
      </c>
    </row>
    <row r="130" spans="8:18">
      <c r="H130" s="2"/>
      <c r="R130" s="389" t="e">
        <f>MAX(0,'2023.06 to 2024.05 LC'!$F136-$Q$6)</f>
        <v>#VALUE!</v>
      </c>
    </row>
    <row r="131" spans="8:18">
      <c r="H131" s="2"/>
      <c r="Q131" s="102"/>
      <c r="R131" s="389" t="e">
        <f>MAX(0,'2023.06 to 2024.05 LC'!$F137-$Q$6)</f>
        <v>#VALUE!</v>
      </c>
    </row>
    <row r="132" spans="8:18">
      <c r="H132" s="2"/>
      <c r="R132" s="389" t="e">
        <f>MAX(0,'2023.06 to 2024.05 LC'!$F138-$Q$6)</f>
        <v>#VALUE!</v>
      </c>
    </row>
    <row r="133" spans="8:18">
      <c r="H133" s="2"/>
      <c r="R133" s="389" t="e">
        <f>MAX(0,'2023.06 to 2024.05 LC'!$F139-$Q$6)</f>
        <v>#VALUE!</v>
      </c>
    </row>
    <row r="134" spans="8:18">
      <c r="H134" s="2"/>
      <c r="Q134" s="102"/>
      <c r="R134" s="389" t="e">
        <f>MAX(0,'2023.06 to 2024.05 LC'!$F140-$Q$6)</f>
        <v>#VALUE!</v>
      </c>
    </row>
    <row r="135" spans="8:18">
      <c r="H135" s="2"/>
      <c r="R135" s="389" t="e">
        <f>MAX(0,'2023.06 to 2024.05 LC'!$F141-$Q$6)</f>
        <v>#VALUE!</v>
      </c>
    </row>
    <row r="136" spans="8:18">
      <c r="H136" s="2"/>
      <c r="R136" s="389" t="e">
        <f>MAX(0,'2023.06 to 2024.05 LC'!$F142-$Q$6)</f>
        <v>#VALUE!</v>
      </c>
    </row>
    <row r="137" spans="8:18">
      <c r="H137" s="2"/>
      <c r="Q137" s="102"/>
      <c r="R137" s="389" t="e">
        <f>MAX(0,'2023.06 to 2024.05 LC'!$F143-$Q$6)</f>
        <v>#VALUE!</v>
      </c>
    </row>
    <row r="138" spans="8:18">
      <c r="H138" s="2"/>
      <c r="R138" s="389" t="e">
        <f>MAX(0,'2023.06 to 2024.05 LC'!$F144-$Q$6)</f>
        <v>#VALUE!</v>
      </c>
    </row>
    <row r="139" spans="8:18">
      <c r="H139" s="2"/>
      <c r="R139" s="389" t="e">
        <f>MAX(0,'2023.06 to 2024.05 LC'!$F145-$Q$6)</f>
        <v>#VALUE!</v>
      </c>
    </row>
    <row r="140" spans="8:18">
      <c r="H140" s="2"/>
      <c r="Q140" s="102"/>
      <c r="R140" s="389" t="e">
        <f>MAX(0,'2023.06 to 2024.05 LC'!$F146-$Q$6)</f>
        <v>#VALUE!</v>
      </c>
    </row>
    <row r="141" spans="8:18">
      <c r="H141" s="2"/>
      <c r="R141" s="389" t="e">
        <f>MAX(0,'2023.06 to 2024.05 LC'!$F147-$Q$6)</f>
        <v>#VALUE!</v>
      </c>
    </row>
    <row r="142" spans="8:18">
      <c r="H142" s="2"/>
      <c r="R142" s="389" t="e">
        <f>MAX(0,'2023.06 to 2024.05 LC'!$F148-$Q$6)</f>
        <v>#VALUE!</v>
      </c>
    </row>
    <row r="143" spans="8:18">
      <c r="H143" s="2"/>
      <c r="Q143" s="102"/>
      <c r="R143" s="389" t="e">
        <f>MAX(0,'2023.06 to 2024.05 LC'!$F149-$Q$6)</f>
        <v>#VALUE!</v>
      </c>
    </row>
    <row r="144" spans="8:18">
      <c r="H144" s="2"/>
      <c r="R144" s="389" t="e">
        <f>MAX(0,'2023.06 to 2024.05 LC'!$F150-$Q$6)</f>
        <v>#VALUE!</v>
      </c>
    </row>
    <row r="145" spans="8:18">
      <c r="H145" s="2"/>
      <c r="R145" s="389" t="e">
        <f>MAX(0,'2023.06 to 2024.05 LC'!$F151-$Q$6)</f>
        <v>#VALUE!</v>
      </c>
    </row>
    <row r="146" spans="8:18">
      <c r="H146" s="2"/>
      <c r="Q146" s="102"/>
      <c r="R146" s="389" t="e">
        <f>MAX(0,'2023.06 to 2024.05 LC'!$F152-$Q$6)</f>
        <v>#VALUE!</v>
      </c>
    </row>
    <row r="147" spans="8:18">
      <c r="H147" s="2"/>
      <c r="R147" s="389" t="e">
        <f>MAX(0,'2023.06 to 2024.05 LC'!$F153-$Q$6)</f>
        <v>#VALUE!</v>
      </c>
    </row>
    <row r="148" spans="8:18">
      <c r="H148" s="2"/>
      <c r="R148" s="389" t="e">
        <f>MAX(0,'2023.06 to 2024.05 LC'!$F154-$Q$6)</f>
        <v>#VALUE!</v>
      </c>
    </row>
    <row r="149" spans="8:18">
      <c r="H149" s="2"/>
      <c r="Q149" s="102"/>
      <c r="R149" s="389" t="e">
        <f>MAX(0,'2023.06 to 2024.05 LC'!$F155-$Q$6)</f>
        <v>#VALUE!</v>
      </c>
    </row>
    <row r="150" spans="8:18">
      <c r="H150" s="2"/>
      <c r="R150" s="389" t="e">
        <f>MAX(0,'2023.06 to 2024.05 LC'!$F156-$Q$6)</f>
        <v>#VALUE!</v>
      </c>
    </row>
    <row r="151" spans="8:18">
      <c r="H151" s="2"/>
      <c r="R151" s="389" t="e">
        <f>MAX(0,'2023.06 to 2024.05 LC'!$F157-$Q$6)</f>
        <v>#VALUE!</v>
      </c>
    </row>
    <row r="152" spans="8:18">
      <c r="H152" s="2"/>
      <c r="Q152" s="102"/>
      <c r="R152" s="389" t="e">
        <f>MAX(0,'2023.06 to 2024.05 LC'!$F158-$Q$6)</f>
        <v>#VALUE!</v>
      </c>
    </row>
    <row r="153" spans="8:18">
      <c r="H153" s="2"/>
      <c r="R153" s="389" t="e">
        <f>MAX(0,'2023.06 to 2024.05 LC'!$F159-$Q$6)</f>
        <v>#VALUE!</v>
      </c>
    </row>
    <row r="154" spans="8:18">
      <c r="H154" s="2"/>
      <c r="R154" s="389" t="e">
        <f>MAX(0,'2023.06 to 2024.05 LC'!$F160-$Q$6)</f>
        <v>#VALUE!</v>
      </c>
    </row>
    <row r="155" spans="8:18">
      <c r="H155" s="2"/>
      <c r="Q155" s="102"/>
      <c r="R155" s="389" t="e">
        <f>MAX(0,'2023.06 to 2024.05 LC'!$F161-$Q$6)</f>
        <v>#VALUE!</v>
      </c>
    </row>
    <row r="156" spans="8:18">
      <c r="H156" s="2"/>
      <c r="R156" s="389" t="e">
        <f>MAX(0,'2023.06 to 2024.05 LC'!$F162-$Q$6)</f>
        <v>#VALUE!</v>
      </c>
    </row>
    <row r="157" spans="8:18">
      <c r="H157" s="2"/>
      <c r="R157" s="389" t="e">
        <f>MAX(0,'2023.06 to 2024.05 LC'!$F163-$Q$6)</f>
        <v>#VALUE!</v>
      </c>
    </row>
    <row r="158" spans="8:18">
      <c r="H158" s="2"/>
      <c r="Q158" s="102"/>
      <c r="R158" s="389" t="e">
        <f>MAX(0,'2023.06 to 2024.05 LC'!$F164-$Q$6)</f>
        <v>#VALUE!</v>
      </c>
    </row>
    <row r="159" spans="8:18">
      <c r="H159" s="2"/>
      <c r="R159" s="389" t="e">
        <f>MAX(0,'2023.06 to 2024.05 LC'!$F165-$Q$6)</f>
        <v>#VALUE!</v>
      </c>
    </row>
    <row r="160" spans="8:18">
      <c r="H160" s="2"/>
      <c r="R160" s="389" t="e">
        <f>MAX(0,'2023.06 to 2024.05 LC'!$F166-$Q$6)</f>
        <v>#VALUE!</v>
      </c>
    </row>
    <row r="161" spans="8:18">
      <c r="H161" s="2"/>
      <c r="Q161" s="102"/>
      <c r="R161" s="389" t="e">
        <f>MAX(0,'2023.06 to 2024.05 LC'!$F167-$Q$6)</f>
        <v>#VALUE!</v>
      </c>
    </row>
    <row r="162" spans="8:18">
      <c r="H162" s="2"/>
      <c r="R162" s="389" t="e">
        <f>MAX(0,'2023.06 to 2024.05 LC'!$F168-$Q$6)</f>
        <v>#VALUE!</v>
      </c>
    </row>
    <row r="163" spans="8:18">
      <c r="H163" s="2"/>
      <c r="R163" s="389" t="e">
        <f>MAX(0,'2023.06 to 2024.05 LC'!$F169-$Q$6)</f>
        <v>#VALUE!</v>
      </c>
    </row>
    <row r="164" spans="8:18">
      <c r="H164" s="2"/>
      <c r="Q164" s="102"/>
      <c r="R164" s="389" t="e">
        <f>MAX(0,'2023.06 to 2024.05 LC'!$F170-$Q$6)</f>
        <v>#VALUE!</v>
      </c>
    </row>
    <row r="165" spans="8:18">
      <c r="H165" s="2"/>
      <c r="R165" s="389" t="e">
        <f>MAX(0,'2023.06 to 2024.05 LC'!$F171-$Q$6)</f>
        <v>#VALUE!</v>
      </c>
    </row>
    <row r="166" spans="8:18">
      <c r="H166" s="2"/>
      <c r="R166" s="389" t="e">
        <f>MAX(0,'2023.06 to 2024.05 LC'!$F172-$Q$6)</f>
        <v>#VALUE!</v>
      </c>
    </row>
    <row r="167" spans="8:18">
      <c r="H167" s="2"/>
      <c r="Q167" s="102"/>
      <c r="R167" s="389" t="e">
        <f>MAX(0,'2023.06 to 2024.05 LC'!$F173-$Q$6)</f>
        <v>#VALUE!</v>
      </c>
    </row>
    <row r="168" spans="8:18">
      <c r="H168" s="2"/>
      <c r="R168" s="389" t="e">
        <f>MAX(0,'2023.06 to 2024.05 LC'!$F174-$Q$6)</f>
        <v>#VALUE!</v>
      </c>
    </row>
    <row r="169" spans="8:18">
      <c r="H169" s="2"/>
      <c r="R169" s="389" t="e">
        <f>MAX(0,'2023.06 to 2024.05 LC'!$F175-$Q$6)</f>
        <v>#VALUE!</v>
      </c>
    </row>
    <row r="170" spans="8:18">
      <c r="H170" s="2"/>
      <c r="Q170" s="102"/>
      <c r="R170" s="389" t="e">
        <f>MAX(0,'2023.06 to 2024.05 LC'!$F176-$Q$6)</f>
        <v>#VALUE!</v>
      </c>
    </row>
    <row r="171" spans="8:18">
      <c r="H171" s="2"/>
      <c r="R171" s="389" t="e">
        <f>MAX(0,'2023.06 to 2024.05 LC'!$F177-$Q$6)</f>
        <v>#VALUE!</v>
      </c>
    </row>
    <row r="172" spans="8:18">
      <c r="H172" s="2"/>
      <c r="R172" s="389" t="e">
        <f>MAX(0,'2023.06 to 2024.05 LC'!$F178-$Q$6)</f>
        <v>#VALUE!</v>
      </c>
    </row>
    <row r="173" spans="8:18">
      <c r="H173" s="2"/>
      <c r="Q173" s="102"/>
      <c r="R173" s="389" t="e">
        <f>MAX(0,'2023.06 to 2024.05 LC'!$F179-$Q$6)</f>
        <v>#VALUE!</v>
      </c>
    </row>
    <row r="174" spans="8:18">
      <c r="H174" s="2"/>
      <c r="R174" s="389" t="e">
        <f>MAX(0,'2023.06 to 2024.05 LC'!$F180-$Q$6)</f>
        <v>#VALUE!</v>
      </c>
    </row>
    <row r="175" spans="8:18">
      <c r="H175" s="2"/>
      <c r="R175" s="389" t="e">
        <f>MAX(0,'2023.06 to 2024.05 LC'!$F181-$Q$6)</f>
        <v>#VALUE!</v>
      </c>
    </row>
    <row r="176" spans="8:18">
      <c r="H176" s="2"/>
      <c r="Q176" s="102"/>
      <c r="R176" s="389" t="e">
        <f>MAX(0,'2023.06 to 2024.05 LC'!$F182-$Q$6)</f>
        <v>#VALUE!</v>
      </c>
    </row>
    <row r="177" spans="8:18">
      <c r="H177" s="2"/>
      <c r="R177" s="389" t="e">
        <f>MAX(0,'2023.06 to 2024.05 LC'!$F183-$Q$6)</f>
        <v>#VALUE!</v>
      </c>
    </row>
    <row r="178" spans="8:18">
      <c r="H178" s="2"/>
      <c r="R178" s="389" t="e">
        <f>MAX(0,'2023.06 to 2024.05 LC'!$F184-$Q$6)</f>
        <v>#VALUE!</v>
      </c>
    </row>
    <row r="179" spans="8:18">
      <c r="H179" s="2"/>
      <c r="Q179" s="102"/>
      <c r="R179" s="389" t="e">
        <f>MAX(0,'2023.06 to 2024.05 LC'!$F185-$Q$6)</f>
        <v>#VALUE!</v>
      </c>
    </row>
    <row r="180" spans="8:18">
      <c r="H180" s="2"/>
      <c r="R180" s="389" t="e">
        <f>MAX(0,'2023.06 to 2024.05 LC'!$F186-$Q$6)</f>
        <v>#VALUE!</v>
      </c>
    </row>
    <row r="181" spans="8:18">
      <c r="H181" s="2"/>
      <c r="R181" s="389" t="e">
        <f>MAX(0,'2023.06 to 2024.05 LC'!$F187-$Q$6)</f>
        <v>#VALUE!</v>
      </c>
    </row>
    <row r="182" spans="8:18">
      <c r="H182" s="2"/>
      <c r="Q182" s="102"/>
      <c r="R182" s="389" t="e">
        <f>MAX(0,'2023.06 to 2024.05 LC'!$F188-$Q$6)</f>
        <v>#VALUE!</v>
      </c>
    </row>
    <row r="183" spans="8:18">
      <c r="H183" s="2"/>
      <c r="R183" s="389" t="e">
        <f>MAX(0,'2023.06 to 2024.05 LC'!$F189-$Q$6)</f>
        <v>#VALUE!</v>
      </c>
    </row>
    <row r="184" spans="8:18">
      <c r="H184" s="2"/>
      <c r="R184" s="389" t="e">
        <f>MAX(0,'2023.06 to 2024.05 LC'!$F190-$Q$6)</f>
        <v>#VALUE!</v>
      </c>
    </row>
    <row r="185" spans="8:18">
      <c r="H185" s="2"/>
      <c r="Q185" s="102"/>
      <c r="R185" s="389" t="e">
        <f>MAX(0,'2023.06 to 2024.05 LC'!$F191-$Q$6)</f>
        <v>#VALUE!</v>
      </c>
    </row>
    <row r="186" spans="8:18">
      <c r="H186" s="2"/>
      <c r="R186" s="389" t="e">
        <f>MAX(0,'2023.06 to 2024.05 LC'!$F192-$Q$6)</f>
        <v>#VALUE!</v>
      </c>
    </row>
    <row r="187" spans="8:18">
      <c r="H187" s="2"/>
      <c r="R187" s="389" t="e">
        <f>MAX(0,'2023.06 to 2024.05 LC'!$F193-$Q$6)</f>
        <v>#VALUE!</v>
      </c>
    </row>
    <row r="188" spans="8:18">
      <c r="H188" s="2"/>
      <c r="Q188" s="102"/>
      <c r="R188" s="389" t="e">
        <f>MAX(0,'2023.06 to 2024.05 LC'!$F194-$Q$6)</f>
        <v>#VALUE!</v>
      </c>
    </row>
    <row r="189" spans="8:18">
      <c r="H189" s="2"/>
      <c r="R189" s="389" t="e">
        <f>MAX(0,'2023.06 to 2024.05 LC'!$F195-$Q$6)</f>
        <v>#VALUE!</v>
      </c>
    </row>
    <row r="190" spans="8:18">
      <c r="H190" s="2"/>
      <c r="R190" s="389" t="e">
        <f>MAX(0,'2023.06 to 2024.05 LC'!$F196-$Q$6)</f>
        <v>#VALUE!</v>
      </c>
    </row>
    <row r="191" spans="8:18">
      <c r="H191" s="2"/>
      <c r="Q191" s="102"/>
      <c r="R191" s="389" t="e">
        <f>MAX(0,'2023.06 to 2024.05 LC'!$F197-$Q$6)</f>
        <v>#VALUE!</v>
      </c>
    </row>
    <row r="192" spans="8:18">
      <c r="H192" s="2"/>
      <c r="R192" s="389" t="e">
        <f>MAX(0,'2023.06 to 2024.05 LC'!$F198-$Q$6)</f>
        <v>#VALUE!</v>
      </c>
    </row>
    <row r="193" spans="8:18">
      <c r="H193" s="2"/>
      <c r="R193" s="389" t="e">
        <f>MAX(0,'2023.06 to 2024.05 LC'!$F199-$Q$6)</f>
        <v>#VALUE!</v>
      </c>
    </row>
    <row r="194" spans="8:18">
      <c r="H194" s="2"/>
      <c r="Q194" s="102"/>
      <c r="R194" s="389" t="e">
        <f>MAX(0,'2023.06 to 2024.05 LC'!$F200-$Q$6)</f>
        <v>#VALUE!</v>
      </c>
    </row>
    <row r="195" spans="8:18">
      <c r="H195" s="2"/>
      <c r="R195" s="389" t="e">
        <f>MAX(0,'2023.06 to 2024.05 LC'!$F201-$Q$6)</f>
        <v>#VALUE!</v>
      </c>
    </row>
    <row r="196" spans="8:18">
      <c r="H196" s="2"/>
      <c r="R196" s="389" t="e">
        <f>MAX(0,'2023.06 to 2024.05 LC'!$F202-$Q$6)</f>
        <v>#VALUE!</v>
      </c>
    </row>
    <row r="197" spans="8:18">
      <c r="H197" s="2"/>
      <c r="Q197" s="102"/>
      <c r="R197" s="389" t="e">
        <f>MAX(0,'2023.06 to 2024.05 LC'!$F203-$Q$6)</f>
        <v>#VALUE!</v>
      </c>
    </row>
    <row r="198" spans="8:18">
      <c r="H198" s="2"/>
      <c r="R198" s="389" t="e">
        <f>MAX(0,'2023.06 to 2024.05 LC'!$F204-$Q$6)</f>
        <v>#VALUE!</v>
      </c>
    </row>
    <row r="199" spans="8:18">
      <c r="H199" s="2"/>
      <c r="R199" s="389" t="e">
        <f>MAX(0,'2023.06 to 2024.05 LC'!$F205-$Q$6)</f>
        <v>#VALUE!</v>
      </c>
    </row>
    <row r="200" spans="8:18">
      <c r="H200" s="2"/>
      <c r="Q200" s="102"/>
      <c r="R200" s="389" t="e">
        <f>MAX(0,'2023.06 to 2024.05 LC'!$F206-$Q$6)</f>
        <v>#VALUE!</v>
      </c>
    </row>
    <row r="201" spans="8:18">
      <c r="H201" s="2"/>
      <c r="R201" s="389" t="e">
        <f>MAX(0,'2023.06 to 2024.05 LC'!$F207-$Q$6)</f>
        <v>#VALUE!</v>
      </c>
    </row>
    <row r="202" spans="8:18">
      <c r="H202" s="2"/>
      <c r="R202" s="389">
        <f>MAX(0,'2023.06 to 2024.05 LC'!$F208-$Q$6)</f>
        <v>0</v>
      </c>
    </row>
    <row r="203" spans="8:18">
      <c r="H203" s="2"/>
      <c r="Q203" s="102"/>
      <c r="R203" s="389">
        <f>MAX(0,'2023.06 to 2024.05 LC'!$F209-$Q$6)</f>
        <v>0</v>
      </c>
    </row>
    <row r="204" spans="8:18">
      <c r="H204" s="2"/>
      <c r="R204" s="389">
        <f>MAX(0,'2023.06 to 2024.05 LC'!$F210-$Q$6)</f>
        <v>0</v>
      </c>
    </row>
    <row r="205" spans="8:18">
      <c r="H205" s="2"/>
      <c r="R205" s="389">
        <f>MAX(0,'2023.06 to 2024.05 LC'!$F211-$Q$6)</f>
        <v>0</v>
      </c>
    </row>
    <row r="206" spans="8:18">
      <c r="H206" s="2"/>
      <c r="Q206" s="102"/>
      <c r="R206" s="389">
        <f>MAX(0,'2023.06 to 2024.05 LC'!$F212-$Q$6)</f>
        <v>0</v>
      </c>
    </row>
    <row r="207" spans="8:18">
      <c r="H207" s="2"/>
      <c r="R207" s="389">
        <f>MAX(0,'2023.06 to 2024.05 LC'!$F213-$Q$6)</f>
        <v>0</v>
      </c>
    </row>
    <row r="208" spans="8:18">
      <c r="H208" s="2"/>
      <c r="R208" s="389">
        <f>MAX(0,'2023.06 to 2024.05 LC'!$F214-$Q$6)</f>
        <v>0</v>
      </c>
    </row>
    <row r="209" spans="8:18">
      <c r="H209" s="2"/>
      <c r="Q209" s="102"/>
      <c r="R209" s="389">
        <f>MAX(0,'2023.06 to 2024.05 LC'!$F215-$Q$6)</f>
        <v>0</v>
      </c>
    </row>
    <row r="210" spans="8:18">
      <c r="H210" s="2"/>
      <c r="R210" s="389">
        <f>MAX(0,'2023.06 to 2024.05 LC'!$F216-$Q$6)</f>
        <v>0</v>
      </c>
    </row>
    <row r="211" spans="8:18">
      <c r="H211" s="2"/>
      <c r="R211" s="389">
        <f>MAX(0,'2023.06 to 2024.05 LC'!$F217-$Q$6)</f>
        <v>0</v>
      </c>
    </row>
    <row r="212" spans="8:18">
      <c r="H212" s="2"/>
      <c r="Q212" s="102"/>
      <c r="R212" s="389">
        <f>MAX(0,'2023.06 to 2024.05 LC'!$F218-$Q$6)</f>
        <v>0</v>
      </c>
    </row>
    <row r="213" spans="8:18">
      <c r="H213" s="2"/>
      <c r="R213" s="389">
        <f>MAX(0,'2023.06 to 2024.05 LC'!$F219-$Q$6)</f>
        <v>0</v>
      </c>
    </row>
    <row r="214" spans="8:18">
      <c r="H214" s="2"/>
      <c r="R214" s="389">
        <f>MAX(0,'2023.06 to 2024.05 LC'!$F220-$Q$6)</f>
        <v>0</v>
      </c>
    </row>
    <row r="215" spans="8:18">
      <c r="H215" s="2"/>
      <c r="Q215" s="102"/>
      <c r="R215" s="389">
        <f>MAX(0,'2023.06 to 2024.05 LC'!$F221-$Q$6)</f>
        <v>0</v>
      </c>
    </row>
    <row r="216" spans="8:18">
      <c r="H216" s="2"/>
      <c r="R216" s="389">
        <f>MAX(0,'2023.06 to 2024.05 LC'!$F222-$Q$6)</f>
        <v>0</v>
      </c>
    </row>
    <row r="217" spans="8:18">
      <c r="H217" s="2"/>
      <c r="R217" s="389">
        <f>MAX(0,'2023.06 to 2024.05 LC'!$F223-$Q$6)</f>
        <v>0</v>
      </c>
    </row>
    <row r="218" spans="8:18">
      <c r="H218" s="2"/>
      <c r="Q218" s="102"/>
      <c r="R218" s="389">
        <f>MAX(0,'2023.06 to 2024.05 LC'!$F224-$Q$6)</f>
        <v>0</v>
      </c>
    </row>
    <row r="219" spans="8:18">
      <c r="H219" s="2"/>
      <c r="R219" s="389">
        <f>MAX(0,'2023.06 to 2024.05 LC'!$F225-$Q$6)</f>
        <v>0</v>
      </c>
    </row>
    <row r="220" spans="8:18">
      <c r="H220" s="2"/>
      <c r="R220" s="389">
        <f>MAX(0,'2023.06 to 2024.05 LC'!$F226-$Q$6)</f>
        <v>0</v>
      </c>
    </row>
    <row r="221" spans="8:18">
      <c r="H221" s="2"/>
      <c r="Q221" s="102"/>
      <c r="R221" s="389">
        <f>MAX(0,'2023.06 to 2024.05 LC'!$F227-$Q$6)</f>
        <v>0</v>
      </c>
    </row>
    <row r="222" spans="8:18">
      <c r="H222" s="2"/>
      <c r="R222" s="389">
        <f>MAX(0,'2023.06 to 2024.05 LC'!$F228-$Q$6)</f>
        <v>0</v>
      </c>
    </row>
    <row r="223" spans="8:18">
      <c r="H223" s="2"/>
      <c r="R223" s="389">
        <f>MAX(0,'2023.06 to 2024.05 LC'!$F229-$Q$6)</f>
        <v>0</v>
      </c>
    </row>
    <row r="224" spans="8:18">
      <c r="H224" s="2"/>
      <c r="Q224" s="102"/>
      <c r="R224" s="389">
        <f>MAX(0,'2023.06 to 2024.05 LC'!$F230-$Q$6)</f>
        <v>0</v>
      </c>
    </row>
    <row r="225" spans="8:18" ht="15.75" thickBot="1">
      <c r="H225" s="2"/>
      <c r="R225" s="390">
        <f>MAX(0,'2023.06 to 2024.05 LC'!$F231-$Q$6)</f>
        <v>0</v>
      </c>
    </row>
    <row r="226" spans="8:18">
      <c r="H226" s="2"/>
      <c r="Q226" s="55" t="s">
        <v>60</v>
      </c>
      <c r="R226" s="64" t="e">
        <f>(SUM($R$6:$R$225)-$Q$7)</f>
        <v>#VALUE!</v>
      </c>
    </row>
    <row r="227" spans="8:18">
      <c r="H227" s="2"/>
      <c r="Q227" s="55" t="s">
        <v>61</v>
      </c>
      <c r="R227" s="55">
        <f>COUNTIF($R$6:$R$225,"&gt;0")</f>
        <v>0</v>
      </c>
    </row>
    <row r="228" spans="8:18">
      <c r="H228" s="2"/>
    </row>
    <row r="229" spans="8:18">
      <c r="H229" s="2"/>
    </row>
    <row r="230" spans="8:18">
      <c r="H230" s="2"/>
    </row>
    <row r="231" spans="8:18">
      <c r="H231" s="2"/>
    </row>
    <row r="232" spans="8:18">
      <c r="H232" s="2"/>
    </row>
    <row r="233" spans="8:18">
      <c r="H233" s="2"/>
    </row>
    <row r="234" spans="8:18">
      <c r="H234" s="2"/>
    </row>
    <row r="235" spans="8:18">
      <c r="H235" s="2"/>
    </row>
    <row r="236" spans="8:18">
      <c r="H236" s="2"/>
    </row>
    <row r="237" spans="8:18">
      <c r="H237" s="2"/>
    </row>
    <row r="238" spans="8:18">
      <c r="H238" s="2"/>
    </row>
    <row r="239" spans="8:18">
      <c r="H239" s="2"/>
    </row>
    <row r="240" spans="8:18">
      <c r="H240" s="2"/>
    </row>
    <row r="241" spans="8:8">
      <c r="H241" s="2"/>
    </row>
    <row r="242" spans="8:8">
      <c r="H242" s="2"/>
    </row>
    <row r="243" spans="8:8">
      <c r="H243" s="2"/>
    </row>
    <row r="244" spans="8:8">
      <c r="H244" s="2"/>
    </row>
    <row r="245" spans="8:8">
      <c r="H245" s="2"/>
    </row>
    <row r="246" spans="8:8">
      <c r="H246" s="2"/>
    </row>
    <row r="247" spans="8:8">
      <c r="H247" s="2"/>
    </row>
    <row r="248" spans="8:8">
      <c r="H248" s="2"/>
    </row>
    <row r="249" spans="8:8">
      <c r="H249" s="2"/>
    </row>
    <row r="250" spans="8:8">
      <c r="H250" s="2"/>
    </row>
    <row r="251" spans="8:8">
      <c r="H251" s="2"/>
    </row>
    <row r="252" spans="8:8">
      <c r="H252" s="2"/>
    </row>
    <row r="253" spans="8:8">
      <c r="H253" s="2"/>
    </row>
    <row r="254" spans="8:8">
      <c r="H254" s="2"/>
    </row>
    <row r="255" spans="8:8">
      <c r="H255" s="2"/>
    </row>
    <row r="256" spans="8:8">
      <c r="H256" s="2"/>
    </row>
    <row r="257" spans="8:8">
      <c r="H257" s="2"/>
    </row>
    <row r="258" spans="8:8">
      <c r="H258" s="2"/>
    </row>
    <row r="259" spans="8:8">
      <c r="H259" s="2"/>
    </row>
    <row r="260" spans="8:8">
      <c r="H260" s="2"/>
    </row>
    <row r="261" spans="8:8">
      <c r="H261" s="2"/>
    </row>
    <row r="262" spans="8:8">
      <c r="H262" s="2"/>
    </row>
    <row r="263" spans="8:8">
      <c r="H263" s="2"/>
    </row>
    <row r="264" spans="8:8">
      <c r="H264" s="2"/>
    </row>
    <row r="265" spans="8:8">
      <c r="H265" s="2"/>
    </row>
    <row r="266" spans="8:8">
      <c r="H266" s="2"/>
    </row>
    <row r="267" spans="8:8">
      <c r="H267" s="2"/>
    </row>
    <row r="268" spans="8:8">
      <c r="H268" s="2"/>
    </row>
    <row r="269" spans="8:8">
      <c r="H269" s="2"/>
    </row>
    <row r="270" spans="8:8">
      <c r="H270" s="2"/>
    </row>
    <row r="271" spans="8:8">
      <c r="H271" s="2"/>
    </row>
    <row r="272" spans="8:8">
      <c r="H272" s="2"/>
    </row>
    <row r="273" spans="8:8">
      <c r="H273" s="2"/>
    </row>
    <row r="274" spans="8:8">
      <c r="H274" s="2"/>
    </row>
    <row r="275" spans="8:8">
      <c r="H275" s="2"/>
    </row>
    <row r="276" spans="8:8">
      <c r="H276" s="2"/>
    </row>
    <row r="277" spans="8:8">
      <c r="H277" s="2"/>
    </row>
    <row r="278" spans="8:8">
      <c r="H278" s="2"/>
    </row>
    <row r="279" spans="8:8">
      <c r="H279" s="2"/>
    </row>
    <row r="280" spans="8:8">
      <c r="H280" s="2"/>
    </row>
    <row r="281" spans="8:8">
      <c r="H281" s="2"/>
    </row>
    <row r="282" spans="8:8">
      <c r="H282" s="2"/>
    </row>
    <row r="283" spans="8:8">
      <c r="H283" s="2"/>
    </row>
    <row r="284" spans="8:8">
      <c r="H284" s="2"/>
    </row>
    <row r="285" spans="8:8">
      <c r="H285" s="2"/>
    </row>
    <row r="286" spans="8:8">
      <c r="H286" s="2"/>
    </row>
    <row r="287" spans="8:8">
      <c r="H287" s="2"/>
    </row>
    <row r="288" spans="8:8">
      <c r="H288" s="2"/>
    </row>
    <row r="289" spans="8:8">
      <c r="H289" s="2"/>
    </row>
    <row r="290" spans="8:8">
      <c r="H290" s="2"/>
    </row>
    <row r="291" spans="8:8">
      <c r="H291" s="2"/>
    </row>
    <row r="292" spans="8:8">
      <c r="H292" s="2"/>
    </row>
    <row r="293" spans="8:8">
      <c r="H293" s="2"/>
    </row>
    <row r="294" spans="8:8">
      <c r="H294" s="2"/>
    </row>
    <row r="295" spans="8:8">
      <c r="H295" s="2"/>
    </row>
    <row r="296" spans="8:8">
      <c r="H296" s="2"/>
    </row>
    <row r="297" spans="8:8">
      <c r="H297" s="2"/>
    </row>
    <row r="298" spans="8:8">
      <c r="H298" s="2"/>
    </row>
    <row r="299" spans="8:8">
      <c r="H299" s="2"/>
    </row>
    <row r="300" spans="8:8">
      <c r="H300" s="2"/>
    </row>
    <row r="301" spans="8:8">
      <c r="H301" s="2"/>
    </row>
    <row r="302" spans="8:8">
      <c r="H302" s="2"/>
    </row>
    <row r="303" spans="8:8">
      <c r="H303" s="2"/>
    </row>
    <row r="304" spans="8:8">
      <c r="H304" s="2"/>
    </row>
    <row r="305" spans="8:8">
      <c r="H305" s="2"/>
    </row>
    <row r="306" spans="8:8">
      <c r="H306" s="2"/>
    </row>
    <row r="307" spans="8:8">
      <c r="H307" s="2"/>
    </row>
    <row r="308" spans="8:8">
      <c r="H308" s="2"/>
    </row>
    <row r="309" spans="8:8">
      <c r="H309" s="2"/>
    </row>
    <row r="310" spans="8:8">
      <c r="H310" s="2"/>
    </row>
    <row r="311" spans="8:8">
      <c r="H311" s="2"/>
    </row>
    <row r="312" spans="8:8">
      <c r="H312" s="2"/>
    </row>
    <row r="313" spans="8:8">
      <c r="H313" s="2"/>
    </row>
    <row r="314" spans="8:8">
      <c r="H314" s="2"/>
    </row>
    <row r="315" spans="8:8">
      <c r="H315" s="2"/>
    </row>
    <row r="316" spans="8:8">
      <c r="H316" s="2"/>
    </row>
    <row r="317" spans="8:8">
      <c r="H317" s="2"/>
    </row>
    <row r="318" spans="8:8">
      <c r="H318" s="2"/>
    </row>
    <row r="319" spans="8:8">
      <c r="H319" s="2"/>
    </row>
    <row r="320" spans="8:8">
      <c r="H320" s="2"/>
    </row>
    <row r="321" spans="8:8">
      <c r="H321" s="2"/>
    </row>
    <row r="322" spans="8:8">
      <c r="H322" s="2"/>
    </row>
    <row r="323" spans="8:8">
      <c r="H323" s="2"/>
    </row>
    <row r="324" spans="8:8">
      <c r="H324" s="2"/>
    </row>
    <row r="325" spans="8:8">
      <c r="H325" s="2"/>
    </row>
    <row r="326" spans="8:8">
      <c r="H326" s="2"/>
    </row>
    <row r="327" spans="8:8">
      <c r="H327" s="2"/>
    </row>
    <row r="328" spans="8:8">
      <c r="H328" s="2"/>
    </row>
    <row r="329" spans="8:8">
      <c r="H329" s="2"/>
    </row>
    <row r="330" spans="8:8">
      <c r="H330" s="2"/>
    </row>
    <row r="331" spans="8:8">
      <c r="H331" s="2"/>
    </row>
    <row r="332" spans="8:8">
      <c r="H332" s="2"/>
    </row>
    <row r="333" spans="8:8">
      <c r="H333" s="2"/>
    </row>
    <row r="334" spans="8:8">
      <c r="H334" s="2"/>
    </row>
    <row r="335" spans="8:8">
      <c r="H335" s="2"/>
    </row>
    <row r="336" spans="8:8">
      <c r="H336" s="2"/>
    </row>
    <row r="337" spans="8:8">
      <c r="H337" s="2"/>
    </row>
    <row r="338" spans="8:8">
      <c r="H338" s="2"/>
    </row>
    <row r="339" spans="8:8">
      <c r="H339" s="2"/>
    </row>
    <row r="340" spans="8:8">
      <c r="H340" s="2"/>
    </row>
    <row r="341" spans="8:8">
      <c r="H341" s="2"/>
    </row>
    <row r="342" spans="8:8">
      <c r="H342" s="2"/>
    </row>
    <row r="343" spans="8:8">
      <c r="H343" s="2"/>
    </row>
    <row r="344" spans="8:8">
      <c r="H344" s="2"/>
    </row>
    <row r="345" spans="8:8">
      <c r="H345" s="2"/>
    </row>
    <row r="346" spans="8:8">
      <c r="H346" s="2"/>
    </row>
    <row r="347" spans="8:8">
      <c r="H347" s="2"/>
    </row>
    <row r="348" spans="8:8">
      <c r="H348" s="2"/>
    </row>
    <row r="349" spans="8:8">
      <c r="H349" s="2"/>
    </row>
    <row r="350" spans="8:8">
      <c r="H350" s="2"/>
    </row>
    <row r="351" spans="8:8">
      <c r="H351" s="2"/>
    </row>
    <row r="352" spans="8:8">
      <c r="H352" s="2"/>
    </row>
    <row r="353" spans="8:8">
      <c r="H353" s="2"/>
    </row>
    <row r="354" spans="8:8">
      <c r="H354" s="2"/>
    </row>
    <row r="355" spans="8:8">
      <c r="H355" s="2"/>
    </row>
    <row r="356" spans="8:8">
      <c r="H356" s="2"/>
    </row>
    <row r="357" spans="8:8">
      <c r="H357" s="2"/>
    </row>
    <row r="358" spans="8:8">
      <c r="H358" s="2"/>
    </row>
    <row r="359" spans="8:8">
      <c r="H359" s="2"/>
    </row>
    <row r="360" spans="8:8">
      <c r="H360" s="2"/>
    </row>
    <row r="361" spans="8:8">
      <c r="H361" s="2"/>
    </row>
    <row r="362" spans="8:8">
      <c r="H362" s="2"/>
    </row>
    <row r="363" spans="8:8">
      <c r="H363" s="2"/>
    </row>
    <row r="364" spans="8:8">
      <c r="H364" s="2"/>
    </row>
    <row r="365" spans="8:8">
      <c r="H365" s="2"/>
    </row>
    <row r="366" spans="8:8">
      <c r="H366" s="2"/>
    </row>
    <row r="367" spans="8:8">
      <c r="H367" s="2"/>
    </row>
    <row r="368" spans="8:8">
      <c r="H368" s="2"/>
    </row>
    <row r="369" spans="8:8">
      <c r="H369" s="2"/>
    </row>
    <row r="370" spans="8:8">
      <c r="H370" s="2"/>
    </row>
    <row r="371" spans="8:8">
      <c r="H371" s="2"/>
    </row>
    <row r="372" spans="8:8">
      <c r="H372" s="2"/>
    </row>
    <row r="373" spans="8:8">
      <c r="H373" s="2"/>
    </row>
    <row r="374" spans="8:8">
      <c r="H374" s="2"/>
    </row>
    <row r="375" spans="8:8">
      <c r="H375" s="2"/>
    </row>
    <row r="376" spans="8:8">
      <c r="H376" s="2"/>
    </row>
    <row r="377" spans="8:8">
      <c r="H377" s="2"/>
    </row>
    <row r="378" spans="8:8">
      <c r="H378" s="2"/>
    </row>
    <row r="379" spans="8:8">
      <c r="H379" s="2"/>
    </row>
    <row r="380" spans="8:8">
      <c r="H380" s="2"/>
    </row>
    <row r="381" spans="8:8">
      <c r="H381" s="2"/>
    </row>
    <row r="382" spans="8:8">
      <c r="H382" s="2"/>
    </row>
    <row r="383" spans="8:8">
      <c r="H383" s="2"/>
    </row>
    <row r="384" spans="8:8">
      <c r="H384" s="2"/>
    </row>
    <row r="385" spans="8:8">
      <c r="H385" s="2"/>
    </row>
    <row r="386" spans="8:8">
      <c r="H386" s="2"/>
    </row>
    <row r="387" spans="8:8">
      <c r="H387" s="2"/>
    </row>
    <row r="388" spans="8:8">
      <c r="H388" s="2"/>
    </row>
    <row r="389" spans="8:8">
      <c r="H389" s="2"/>
    </row>
    <row r="390" spans="8:8">
      <c r="H390" s="2"/>
    </row>
    <row r="391" spans="8:8">
      <c r="H391" s="2"/>
    </row>
    <row r="392" spans="8:8">
      <c r="H392" s="2"/>
    </row>
    <row r="393" spans="8:8">
      <c r="H393" s="2"/>
    </row>
    <row r="394" spans="8:8">
      <c r="H394" s="2"/>
    </row>
    <row r="395" spans="8:8">
      <c r="H395" s="2"/>
    </row>
    <row r="396" spans="8:8">
      <c r="H396" s="2"/>
    </row>
    <row r="397" spans="8:8">
      <c r="H397" s="2"/>
    </row>
    <row r="398" spans="8:8">
      <c r="H398" s="2"/>
    </row>
    <row r="399" spans="8:8">
      <c r="H399" s="2"/>
    </row>
    <row r="400" spans="8:8">
      <c r="H400" s="2"/>
    </row>
    <row r="401" spans="8:8">
      <c r="H401" s="2"/>
    </row>
    <row r="402" spans="8:8">
      <c r="H402" s="2"/>
    </row>
    <row r="403" spans="8:8">
      <c r="H403" s="2"/>
    </row>
    <row r="404" spans="8:8">
      <c r="H404" s="2"/>
    </row>
    <row r="405" spans="8:8">
      <c r="H405" s="2"/>
    </row>
    <row r="406" spans="8:8">
      <c r="H406" s="2"/>
    </row>
    <row r="407" spans="8:8">
      <c r="H407" s="2"/>
    </row>
    <row r="408" spans="8:8">
      <c r="H408" s="2"/>
    </row>
    <row r="409" spans="8:8">
      <c r="H409" s="2"/>
    </row>
    <row r="410" spans="8:8">
      <c r="H410" s="2"/>
    </row>
    <row r="411" spans="8:8">
      <c r="H411" s="2"/>
    </row>
    <row r="412" spans="8:8">
      <c r="H412" s="2"/>
    </row>
    <row r="413" spans="8:8">
      <c r="H413" s="2"/>
    </row>
    <row r="414" spans="8:8">
      <c r="H414" s="2"/>
    </row>
    <row r="415" spans="8:8">
      <c r="H415" s="2"/>
    </row>
    <row r="416" spans="8:8">
      <c r="H416" s="2"/>
    </row>
    <row r="417" spans="8:8">
      <c r="H417" s="2"/>
    </row>
    <row r="418" spans="8:8">
      <c r="H418" s="2"/>
    </row>
    <row r="419" spans="8:8">
      <c r="H419" s="2"/>
    </row>
    <row r="420" spans="8:8">
      <c r="H420" s="2"/>
    </row>
    <row r="421" spans="8:8">
      <c r="H421" s="2"/>
    </row>
    <row r="422" spans="8:8">
      <c r="H422" s="2"/>
    </row>
    <row r="423" spans="8:8">
      <c r="H423" s="2"/>
    </row>
    <row r="424" spans="8:8">
      <c r="H424" s="2"/>
    </row>
    <row r="425" spans="8:8">
      <c r="H425" s="2"/>
    </row>
    <row r="426" spans="8:8">
      <c r="H426" s="2"/>
    </row>
    <row r="427" spans="8:8">
      <c r="H427" s="2"/>
    </row>
    <row r="428" spans="8:8">
      <c r="H428" s="2"/>
    </row>
    <row r="429" spans="8:8">
      <c r="H429" s="2"/>
    </row>
    <row r="430" spans="8:8">
      <c r="H430" s="2"/>
    </row>
    <row r="431" spans="8:8">
      <c r="H431" s="2"/>
    </row>
    <row r="432" spans="8:8">
      <c r="H432" s="2"/>
    </row>
    <row r="433" spans="8:8">
      <c r="H433" s="2"/>
    </row>
    <row r="434" spans="8:8">
      <c r="H434" s="2"/>
    </row>
    <row r="435" spans="8:8">
      <c r="H435" s="2"/>
    </row>
    <row r="436" spans="8:8">
      <c r="H436" s="2"/>
    </row>
    <row r="437" spans="8:8">
      <c r="H437" s="2"/>
    </row>
    <row r="438" spans="8:8">
      <c r="H438" s="2"/>
    </row>
    <row r="439" spans="8:8">
      <c r="H439" s="2"/>
    </row>
    <row r="440" spans="8:8">
      <c r="H440" s="2"/>
    </row>
    <row r="441" spans="8:8">
      <c r="H441" s="2"/>
    </row>
    <row r="442" spans="8:8">
      <c r="H442" s="2"/>
    </row>
    <row r="443" spans="8:8">
      <c r="H443" s="2"/>
    </row>
    <row r="444" spans="8:8">
      <c r="H444" s="2"/>
    </row>
    <row r="445" spans="8:8">
      <c r="H445" s="2"/>
    </row>
    <row r="446" spans="8:8">
      <c r="H446" s="2"/>
    </row>
    <row r="447" spans="8:8">
      <c r="H447" s="2"/>
    </row>
    <row r="448" spans="8:8">
      <c r="H448" s="2"/>
    </row>
    <row r="449" spans="8:8">
      <c r="H449" s="2"/>
    </row>
    <row r="450" spans="8:8">
      <c r="H450" s="2"/>
    </row>
    <row r="451" spans="8:8">
      <c r="H451" s="2"/>
    </row>
    <row r="452" spans="8:8">
      <c r="H452" s="2"/>
    </row>
    <row r="453" spans="8:8">
      <c r="H453" s="2"/>
    </row>
    <row r="454" spans="8:8">
      <c r="H454" s="2"/>
    </row>
    <row r="455" spans="8:8">
      <c r="H455" s="2"/>
    </row>
    <row r="456" spans="8:8">
      <c r="H456" s="2"/>
    </row>
    <row r="457" spans="8:8">
      <c r="H457" s="2"/>
    </row>
    <row r="458" spans="8:8">
      <c r="H458" s="2"/>
    </row>
    <row r="459" spans="8:8">
      <c r="H459" s="2"/>
    </row>
    <row r="460" spans="8:8">
      <c r="H460" s="2"/>
    </row>
    <row r="461" spans="8:8">
      <c r="H461" s="2"/>
    </row>
    <row r="462" spans="8:8">
      <c r="H462" s="2"/>
    </row>
    <row r="463" spans="8:8">
      <c r="H463" s="2"/>
    </row>
    <row r="464" spans="8:8">
      <c r="H464" s="2"/>
    </row>
    <row r="465" spans="8:8">
      <c r="H465" s="2"/>
    </row>
    <row r="466" spans="8:8">
      <c r="H466" s="2"/>
    </row>
    <row r="467" spans="8:8">
      <c r="H467" s="2"/>
    </row>
    <row r="468" spans="8:8">
      <c r="H468" s="2"/>
    </row>
    <row r="469" spans="8:8">
      <c r="H469" s="2"/>
    </row>
    <row r="470" spans="8:8">
      <c r="H470" s="2"/>
    </row>
    <row r="471" spans="8:8">
      <c r="H471" s="2"/>
    </row>
    <row r="472" spans="8:8">
      <c r="H472" s="2"/>
    </row>
    <row r="473" spans="8:8">
      <c r="H473" s="2"/>
    </row>
    <row r="474" spans="8:8">
      <c r="H474" s="2"/>
    </row>
    <row r="475" spans="8:8">
      <c r="H475" s="2"/>
    </row>
    <row r="476" spans="8:8">
      <c r="H476" s="2"/>
    </row>
    <row r="477" spans="8:8">
      <c r="H477" s="2"/>
    </row>
    <row r="478" spans="8:8">
      <c r="H478" s="2"/>
    </row>
    <row r="479" spans="8:8">
      <c r="H479" s="2"/>
    </row>
    <row r="480" spans="8:8">
      <c r="H480" s="2"/>
    </row>
    <row r="481" spans="8:8">
      <c r="H481" s="2"/>
    </row>
    <row r="482" spans="8:8">
      <c r="H482" s="2"/>
    </row>
    <row r="483" spans="8:8">
      <c r="H483" s="2"/>
    </row>
    <row r="484" spans="8:8">
      <c r="H484" s="2"/>
    </row>
    <row r="485" spans="8:8">
      <c r="H485" s="2"/>
    </row>
    <row r="486" spans="8:8">
      <c r="H486" s="2"/>
    </row>
    <row r="487" spans="8:8">
      <c r="H487" s="2"/>
    </row>
    <row r="488" spans="8:8">
      <c r="H488" s="2"/>
    </row>
    <row r="489" spans="8:8">
      <c r="H489" s="2"/>
    </row>
    <row r="490" spans="8:8">
      <c r="H490" s="2"/>
    </row>
    <row r="491" spans="8:8">
      <c r="H491" s="2"/>
    </row>
    <row r="492" spans="8:8">
      <c r="H492" s="2"/>
    </row>
    <row r="493" spans="8:8">
      <c r="H493" s="2"/>
    </row>
    <row r="494" spans="8:8">
      <c r="H494" s="2"/>
    </row>
    <row r="495" spans="8:8">
      <c r="H495" s="2"/>
    </row>
    <row r="496" spans="8:8">
      <c r="H496" s="2"/>
    </row>
    <row r="497" spans="8:8">
      <c r="H497" s="2"/>
    </row>
    <row r="498" spans="8:8">
      <c r="H498" s="2"/>
    </row>
    <row r="499" spans="8:8">
      <c r="H499" s="2"/>
    </row>
    <row r="500" spans="8:8">
      <c r="H500" s="2"/>
    </row>
    <row r="501" spans="8:8">
      <c r="H501" s="2"/>
    </row>
    <row r="502" spans="8:8">
      <c r="H502" s="2"/>
    </row>
    <row r="503" spans="8:8">
      <c r="H503" s="2"/>
    </row>
    <row r="504" spans="8:8">
      <c r="H504" s="2"/>
    </row>
    <row r="505" spans="8:8">
      <c r="H505" s="2"/>
    </row>
    <row r="506" spans="8:8">
      <c r="H506" s="2"/>
    </row>
    <row r="507" spans="8:8">
      <c r="H507" s="2"/>
    </row>
    <row r="508" spans="8:8">
      <c r="H508" s="2"/>
    </row>
    <row r="509" spans="8:8">
      <c r="H509" s="2"/>
    </row>
    <row r="510" spans="8:8">
      <c r="H510" s="2"/>
    </row>
    <row r="511" spans="8:8">
      <c r="H511" s="2"/>
    </row>
    <row r="512" spans="8:8">
      <c r="H512" s="2"/>
    </row>
    <row r="513" spans="8:8">
      <c r="H513" s="2"/>
    </row>
    <row r="514" spans="8:8">
      <c r="H514" s="2"/>
    </row>
    <row r="515" spans="8:8">
      <c r="H515" s="2"/>
    </row>
    <row r="516" spans="8:8">
      <c r="H516" s="2"/>
    </row>
    <row r="517" spans="8:8">
      <c r="H517" s="2"/>
    </row>
    <row r="518" spans="8:8">
      <c r="H518" s="2"/>
    </row>
    <row r="519" spans="8:8">
      <c r="H519" s="2"/>
    </row>
    <row r="520" spans="8:8">
      <c r="H520" s="2"/>
    </row>
    <row r="521" spans="8:8">
      <c r="H521" s="2"/>
    </row>
    <row r="522" spans="8:8">
      <c r="H522" s="2"/>
    </row>
    <row r="523" spans="8:8">
      <c r="H523" s="2"/>
    </row>
    <row r="524" spans="8:8">
      <c r="H524" s="2"/>
    </row>
    <row r="525" spans="8:8">
      <c r="H525" s="2"/>
    </row>
    <row r="526" spans="8:8">
      <c r="H526" s="2"/>
    </row>
    <row r="527" spans="8:8">
      <c r="H527" s="2"/>
    </row>
    <row r="528" spans="8:8">
      <c r="H528" s="2"/>
    </row>
    <row r="529" spans="8:8">
      <c r="H529" s="2"/>
    </row>
    <row r="530" spans="8:8">
      <c r="H530" s="2"/>
    </row>
    <row r="531" spans="8:8">
      <c r="H531" s="2"/>
    </row>
    <row r="532" spans="8:8">
      <c r="H532" s="2"/>
    </row>
    <row r="533" spans="8:8">
      <c r="H533" s="2"/>
    </row>
    <row r="534" spans="8:8">
      <c r="H534" s="2"/>
    </row>
    <row r="535" spans="8:8">
      <c r="H535" s="2"/>
    </row>
    <row r="536" spans="8:8">
      <c r="H536" s="2"/>
    </row>
    <row r="537" spans="8:8">
      <c r="H537" s="2"/>
    </row>
    <row r="538" spans="8:8">
      <c r="H538" s="2"/>
    </row>
    <row r="539" spans="8:8">
      <c r="H539" s="2"/>
    </row>
    <row r="540" spans="8:8">
      <c r="H540" s="2"/>
    </row>
    <row r="541" spans="8:8">
      <c r="H541" s="2"/>
    </row>
    <row r="542" spans="8:8">
      <c r="H542" s="2"/>
    </row>
    <row r="543" spans="8:8">
      <c r="H543" s="2"/>
    </row>
    <row r="544" spans="8:8">
      <c r="H544" s="2"/>
    </row>
    <row r="545" spans="8:8">
      <c r="H545" s="2"/>
    </row>
    <row r="546" spans="8:8">
      <c r="H546" s="2"/>
    </row>
    <row r="547" spans="8:8">
      <c r="H547" s="2"/>
    </row>
  </sheetData>
  <mergeCells count="3">
    <mergeCell ref="C2:E2"/>
    <mergeCell ref="C5:E5"/>
    <mergeCell ref="D15:E15"/>
  </mergeCells>
  <printOptions horizontalCentered="1"/>
  <pageMargins left="0.34" right="0.28999999999999998" top="0.38" bottom="0.43" header="0.25" footer="0"/>
  <pageSetup paperSize="17" scale="31" orientation="landscape" r:id="rId1"/>
  <headerFooter alignWithMargins="0">
    <oddFooter xml:space="preserve">&amp;L&amp;"Arial,Regular"           Davidson Benefits Planning - An Alera Group Company 
&amp;C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6813C-3ECA-46AC-8E0B-0E8384C45C06}">
  <dimension ref="A1:U547"/>
  <sheetViews>
    <sheetView showGridLines="0" topLeftCell="C13" zoomScale="70" zoomScaleNormal="70" zoomScaleSheetLayoutView="75" workbookViewId="0">
      <selection activeCell="G35" sqref="G35:H35"/>
    </sheetView>
  </sheetViews>
  <sheetFormatPr defaultColWidth="10.21875" defaultRowHeight="15"/>
  <cols>
    <col min="1" max="1" width="11.33203125" style="2" hidden="1" customWidth="1"/>
    <col min="2" max="2" width="12.109375" style="2" hidden="1" customWidth="1"/>
    <col min="3" max="3" width="9.109375" style="2" customWidth="1"/>
    <col min="4" max="4" width="81.88671875" style="2" customWidth="1"/>
    <col min="5" max="5" width="33.77734375" style="2" customWidth="1"/>
    <col min="6" max="6" width="2.6640625" style="2" customWidth="1"/>
    <col min="7" max="7" width="19.109375" style="2" customWidth="1"/>
    <col min="8" max="8" width="2.33203125" style="3" customWidth="1"/>
    <col min="9" max="9" width="19.109375" style="2" customWidth="1"/>
    <col min="10" max="10" width="2.33203125" style="2" customWidth="1"/>
    <col min="11" max="11" width="19.109375" style="2" customWidth="1"/>
    <col min="12" max="12" width="4.6640625" style="2" customWidth="1"/>
    <col min="13" max="14" width="17.77734375" style="2" customWidth="1"/>
    <col min="15" max="15" width="10.21875" style="2" hidden="1" customWidth="1"/>
    <col min="16" max="16" width="22.77734375" style="2" hidden="1" customWidth="1"/>
    <col min="17" max="18" width="22.33203125" style="55" hidden="1" customWidth="1"/>
    <col min="19" max="19" width="8.33203125" style="2" hidden="1" customWidth="1"/>
    <col min="20" max="21" width="10.21875" style="2" hidden="1" customWidth="1"/>
    <col min="22" max="22" width="10.21875" style="2" customWidth="1"/>
    <col min="23" max="242" width="10.21875" style="2"/>
    <col min="243" max="244" width="0" style="2" hidden="1" customWidth="1"/>
    <col min="245" max="245" width="7.6640625" style="2" customWidth="1"/>
    <col min="246" max="246" width="4.21875" style="2" customWidth="1"/>
    <col min="247" max="247" width="98" style="2" customWidth="1"/>
    <col min="248" max="248" width="16.109375" style="2" customWidth="1"/>
    <col min="249" max="249" width="1.88671875" style="2" customWidth="1"/>
    <col min="250" max="250" width="15.88671875" style="2" customWidth="1"/>
    <col min="251" max="251" width="1.88671875" style="2" customWidth="1"/>
    <col min="252" max="252" width="13.33203125" style="2" customWidth="1"/>
    <col min="253" max="253" width="1.88671875" style="2" customWidth="1"/>
    <col min="254" max="254" width="13.33203125" style="2" customWidth="1"/>
    <col min="255" max="255" width="2.33203125" style="2" customWidth="1"/>
    <col min="256" max="256" width="2.109375" style="2" customWidth="1"/>
    <col min="257" max="257" width="16.77734375" style="2" customWidth="1"/>
    <col min="258" max="258" width="13.6640625" style="2" customWidth="1"/>
    <col min="259" max="268" width="8.6640625" style="2" customWidth="1"/>
    <col min="269" max="269" width="20.77734375" style="2" customWidth="1"/>
    <col min="270" max="498" width="10.21875" style="2"/>
    <col min="499" max="500" width="0" style="2" hidden="1" customWidth="1"/>
    <col min="501" max="501" width="7.6640625" style="2" customWidth="1"/>
    <col min="502" max="502" width="4.21875" style="2" customWidth="1"/>
    <col min="503" max="503" width="98" style="2" customWidth="1"/>
    <col min="504" max="504" width="16.109375" style="2" customWidth="1"/>
    <col min="505" max="505" width="1.88671875" style="2" customWidth="1"/>
    <col min="506" max="506" width="15.88671875" style="2" customWidth="1"/>
    <col min="507" max="507" width="1.88671875" style="2" customWidth="1"/>
    <col min="508" max="508" width="13.33203125" style="2" customWidth="1"/>
    <col min="509" max="509" width="1.88671875" style="2" customWidth="1"/>
    <col min="510" max="510" width="13.33203125" style="2" customWidth="1"/>
    <col min="511" max="511" width="2.33203125" style="2" customWidth="1"/>
    <col min="512" max="512" width="2.109375" style="2" customWidth="1"/>
    <col min="513" max="513" width="16.77734375" style="2" customWidth="1"/>
    <col min="514" max="514" width="13.6640625" style="2" customWidth="1"/>
    <col min="515" max="524" width="8.6640625" style="2" customWidth="1"/>
    <col min="525" max="525" width="20.77734375" style="2" customWidth="1"/>
    <col min="526" max="754" width="10.21875" style="2"/>
    <col min="755" max="756" width="0" style="2" hidden="1" customWidth="1"/>
    <col min="757" max="757" width="7.6640625" style="2" customWidth="1"/>
    <col min="758" max="758" width="4.21875" style="2" customWidth="1"/>
    <col min="759" max="759" width="98" style="2" customWidth="1"/>
    <col min="760" max="760" width="16.109375" style="2" customWidth="1"/>
    <col min="761" max="761" width="1.88671875" style="2" customWidth="1"/>
    <col min="762" max="762" width="15.88671875" style="2" customWidth="1"/>
    <col min="763" max="763" width="1.88671875" style="2" customWidth="1"/>
    <col min="764" max="764" width="13.33203125" style="2" customWidth="1"/>
    <col min="765" max="765" width="1.88671875" style="2" customWidth="1"/>
    <col min="766" max="766" width="13.33203125" style="2" customWidth="1"/>
    <col min="767" max="767" width="2.33203125" style="2" customWidth="1"/>
    <col min="768" max="768" width="2.109375" style="2" customWidth="1"/>
    <col min="769" max="769" width="16.77734375" style="2" customWidth="1"/>
    <col min="770" max="770" width="13.6640625" style="2" customWidth="1"/>
    <col min="771" max="780" width="8.6640625" style="2" customWidth="1"/>
    <col min="781" max="781" width="20.77734375" style="2" customWidth="1"/>
    <col min="782" max="1010" width="10.21875" style="2"/>
    <col min="1011" max="1012" width="0" style="2" hidden="1" customWidth="1"/>
    <col min="1013" max="1013" width="7.6640625" style="2" customWidth="1"/>
    <col min="1014" max="1014" width="4.21875" style="2" customWidth="1"/>
    <col min="1015" max="1015" width="98" style="2" customWidth="1"/>
    <col min="1016" max="1016" width="16.109375" style="2" customWidth="1"/>
    <col min="1017" max="1017" width="1.88671875" style="2" customWidth="1"/>
    <col min="1018" max="1018" width="15.88671875" style="2" customWidth="1"/>
    <col min="1019" max="1019" width="1.88671875" style="2" customWidth="1"/>
    <col min="1020" max="1020" width="13.33203125" style="2" customWidth="1"/>
    <col min="1021" max="1021" width="1.88671875" style="2" customWidth="1"/>
    <col min="1022" max="1022" width="13.33203125" style="2" customWidth="1"/>
    <col min="1023" max="1023" width="2.33203125" style="2" customWidth="1"/>
    <col min="1024" max="1024" width="2.109375" style="2" customWidth="1"/>
    <col min="1025" max="1025" width="16.77734375" style="2" customWidth="1"/>
    <col min="1026" max="1026" width="13.6640625" style="2" customWidth="1"/>
    <col min="1027" max="1036" width="8.6640625" style="2" customWidth="1"/>
    <col min="1037" max="1037" width="20.77734375" style="2" customWidth="1"/>
    <col min="1038" max="1266" width="10.21875" style="2"/>
    <col min="1267" max="1268" width="0" style="2" hidden="1" customWidth="1"/>
    <col min="1269" max="1269" width="7.6640625" style="2" customWidth="1"/>
    <col min="1270" max="1270" width="4.21875" style="2" customWidth="1"/>
    <col min="1271" max="1271" width="98" style="2" customWidth="1"/>
    <col min="1272" max="1272" width="16.109375" style="2" customWidth="1"/>
    <col min="1273" max="1273" width="1.88671875" style="2" customWidth="1"/>
    <col min="1274" max="1274" width="15.88671875" style="2" customWidth="1"/>
    <col min="1275" max="1275" width="1.88671875" style="2" customWidth="1"/>
    <col min="1276" max="1276" width="13.33203125" style="2" customWidth="1"/>
    <col min="1277" max="1277" width="1.88671875" style="2" customWidth="1"/>
    <col min="1278" max="1278" width="13.33203125" style="2" customWidth="1"/>
    <col min="1279" max="1279" width="2.33203125" style="2" customWidth="1"/>
    <col min="1280" max="1280" width="2.109375" style="2" customWidth="1"/>
    <col min="1281" max="1281" width="16.77734375" style="2" customWidth="1"/>
    <col min="1282" max="1282" width="13.6640625" style="2" customWidth="1"/>
    <col min="1283" max="1292" width="8.6640625" style="2" customWidth="1"/>
    <col min="1293" max="1293" width="20.77734375" style="2" customWidth="1"/>
    <col min="1294" max="1522" width="10.21875" style="2"/>
    <col min="1523" max="1524" width="0" style="2" hidden="1" customWidth="1"/>
    <col min="1525" max="1525" width="7.6640625" style="2" customWidth="1"/>
    <col min="1526" max="1526" width="4.21875" style="2" customWidth="1"/>
    <col min="1527" max="1527" width="98" style="2" customWidth="1"/>
    <col min="1528" max="1528" width="16.109375" style="2" customWidth="1"/>
    <col min="1529" max="1529" width="1.88671875" style="2" customWidth="1"/>
    <col min="1530" max="1530" width="15.88671875" style="2" customWidth="1"/>
    <col min="1531" max="1531" width="1.88671875" style="2" customWidth="1"/>
    <col min="1532" max="1532" width="13.33203125" style="2" customWidth="1"/>
    <col min="1533" max="1533" width="1.88671875" style="2" customWidth="1"/>
    <col min="1534" max="1534" width="13.33203125" style="2" customWidth="1"/>
    <col min="1535" max="1535" width="2.33203125" style="2" customWidth="1"/>
    <col min="1536" max="1536" width="2.109375" style="2" customWidth="1"/>
    <col min="1537" max="1537" width="16.77734375" style="2" customWidth="1"/>
    <col min="1538" max="1538" width="13.6640625" style="2" customWidth="1"/>
    <col min="1539" max="1548" width="8.6640625" style="2" customWidth="1"/>
    <col min="1549" max="1549" width="20.77734375" style="2" customWidth="1"/>
    <col min="1550" max="1778" width="10.21875" style="2"/>
    <col min="1779" max="1780" width="0" style="2" hidden="1" customWidth="1"/>
    <col min="1781" max="1781" width="7.6640625" style="2" customWidth="1"/>
    <col min="1782" max="1782" width="4.21875" style="2" customWidth="1"/>
    <col min="1783" max="1783" width="98" style="2" customWidth="1"/>
    <col min="1784" max="1784" width="16.109375" style="2" customWidth="1"/>
    <col min="1785" max="1785" width="1.88671875" style="2" customWidth="1"/>
    <col min="1786" max="1786" width="15.88671875" style="2" customWidth="1"/>
    <col min="1787" max="1787" width="1.88671875" style="2" customWidth="1"/>
    <col min="1788" max="1788" width="13.33203125" style="2" customWidth="1"/>
    <col min="1789" max="1789" width="1.88671875" style="2" customWidth="1"/>
    <col min="1790" max="1790" width="13.33203125" style="2" customWidth="1"/>
    <col min="1791" max="1791" width="2.33203125" style="2" customWidth="1"/>
    <col min="1792" max="1792" width="2.109375" style="2" customWidth="1"/>
    <col min="1793" max="1793" width="16.77734375" style="2" customWidth="1"/>
    <col min="1794" max="1794" width="13.6640625" style="2" customWidth="1"/>
    <col min="1795" max="1804" width="8.6640625" style="2" customWidth="1"/>
    <col min="1805" max="1805" width="20.77734375" style="2" customWidth="1"/>
    <col min="1806" max="2034" width="10.21875" style="2"/>
    <col min="2035" max="2036" width="0" style="2" hidden="1" customWidth="1"/>
    <col min="2037" max="2037" width="7.6640625" style="2" customWidth="1"/>
    <col min="2038" max="2038" width="4.21875" style="2" customWidth="1"/>
    <col min="2039" max="2039" width="98" style="2" customWidth="1"/>
    <col min="2040" max="2040" width="16.109375" style="2" customWidth="1"/>
    <col min="2041" max="2041" width="1.88671875" style="2" customWidth="1"/>
    <col min="2042" max="2042" width="15.88671875" style="2" customWidth="1"/>
    <col min="2043" max="2043" width="1.88671875" style="2" customWidth="1"/>
    <col min="2044" max="2044" width="13.33203125" style="2" customWidth="1"/>
    <col min="2045" max="2045" width="1.88671875" style="2" customWidth="1"/>
    <col min="2046" max="2046" width="13.33203125" style="2" customWidth="1"/>
    <col min="2047" max="2047" width="2.33203125" style="2" customWidth="1"/>
    <col min="2048" max="2048" width="2.109375" style="2" customWidth="1"/>
    <col min="2049" max="2049" width="16.77734375" style="2" customWidth="1"/>
    <col min="2050" max="2050" width="13.6640625" style="2" customWidth="1"/>
    <col min="2051" max="2060" width="8.6640625" style="2" customWidth="1"/>
    <col min="2061" max="2061" width="20.77734375" style="2" customWidth="1"/>
    <col min="2062" max="2290" width="10.21875" style="2"/>
    <col min="2291" max="2292" width="0" style="2" hidden="1" customWidth="1"/>
    <col min="2293" max="2293" width="7.6640625" style="2" customWidth="1"/>
    <col min="2294" max="2294" width="4.21875" style="2" customWidth="1"/>
    <col min="2295" max="2295" width="98" style="2" customWidth="1"/>
    <col min="2296" max="2296" width="16.109375" style="2" customWidth="1"/>
    <col min="2297" max="2297" width="1.88671875" style="2" customWidth="1"/>
    <col min="2298" max="2298" width="15.88671875" style="2" customWidth="1"/>
    <col min="2299" max="2299" width="1.88671875" style="2" customWidth="1"/>
    <col min="2300" max="2300" width="13.33203125" style="2" customWidth="1"/>
    <col min="2301" max="2301" width="1.88671875" style="2" customWidth="1"/>
    <col min="2302" max="2302" width="13.33203125" style="2" customWidth="1"/>
    <col min="2303" max="2303" width="2.33203125" style="2" customWidth="1"/>
    <col min="2304" max="2304" width="2.109375" style="2" customWidth="1"/>
    <col min="2305" max="2305" width="16.77734375" style="2" customWidth="1"/>
    <col min="2306" max="2306" width="13.6640625" style="2" customWidth="1"/>
    <col min="2307" max="2316" width="8.6640625" style="2" customWidth="1"/>
    <col min="2317" max="2317" width="20.77734375" style="2" customWidth="1"/>
    <col min="2318" max="2546" width="10.21875" style="2"/>
    <col min="2547" max="2548" width="0" style="2" hidden="1" customWidth="1"/>
    <col min="2549" max="2549" width="7.6640625" style="2" customWidth="1"/>
    <col min="2550" max="2550" width="4.21875" style="2" customWidth="1"/>
    <col min="2551" max="2551" width="98" style="2" customWidth="1"/>
    <col min="2552" max="2552" width="16.109375" style="2" customWidth="1"/>
    <col min="2553" max="2553" width="1.88671875" style="2" customWidth="1"/>
    <col min="2554" max="2554" width="15.88671875" style="2" customWidth="1"/>
    <col min="2555" max="2555" width="1.88671875" style="2" customWidth="1"/>
    <col min="2556" max="2556" width="13.33203125" style="2" customWidth="1"/>
    <col min="2557" max="2557" width="1.88671875" style="2" customWidth="1"/>
    <col min="2558" max="2558" width="13.33203125" style="2" customWidth="1"/>
    <col min="2559" max="2559" width="2.33203125" style="2" customWidth="1"/>
    <col min="2560" max="2560" width="2.109375" style="2" customWidth="1"/>
    <col min="2561" max="2561" width="16.77734375" style="2" customWidth="1"/>
    <col min="2562" max="2562" width="13.6640625" style="2" customWidth="1"/>
    <col min="2563" max="2572" width="8.6640625" style="2" customWidth="1"/>
    <col min="2573" max="2573" width="20.77734375" style="2" customWidth="1"/>
    <col min="2574" max="2802" width="10.21875" style="2"/>
    <col min="2803" max="2804" width="0" style="2" hidden="1" customWidth="1"/>
    <col min="2805" max="2805" width="7.6640625" style="2" customWidth="1"/>
    <col min="2806" max="2806" width="4.21875" style="2" customWidth="1"/>
    <col min="2807" max="2807" width="98" style="2" customWidth="1"/>
    <col min="2808" max="2808" width="16.109375" style="2" customWidth="1"/>
    <col min="2809" max="2809" width="1.88671875" style="2" customWidth="1"/>
    <col min="2810" max="2810" width="15.88671875" style="2" customWidth="1"/>
    <col min="2811" max="2811" width="1.88671875" style="2" customWidth="1"/>
    <col min="2812" max="2812" width="13.33203125" style="2" customWidth="1"/>
    <col min="2813" max="2813" width="1.88671875" style="2" customWidth="1"/>
    <col min="2814" max="2814" width="13.33203125" style="2" customWidth="1"/>
    <col min="2815" max="2815" width="2.33203125" style="2" customWidth="1"/>
    <col min="2816" max="2816" width="2.109375" style="2" customWidth="1"/>
    <col min="2817" max="2817" width="16.77734375" style="2" customWidth="1"/>
    <col min="2818" max="2818" width="13.6640625" style="2" customWidth="1"/>
    <col min="2819" max="2828" width="8.6640625" style="2" customWidth="1"/>
    <col min="2829" max="2829" width="20.77734375" style="2" customWidth="1"/>
    <col min="2830" max="3058" width="10.21875" style="2"/>
    <col min="3059" max="3060" width="0" style="2" hidden="1" customWidth="1"/>
    <col min="3061" max="3061" width="7.6640625" style="2" customWidth="1"/>
    <col min="3062" max="3062" width="4.21875" style="2" customWidth="1"/>
    <col min="3063" max="3063" width="98" style="2" customWidth="1"/>
    <col min="3064" max="3064" width="16.109375" style="2" customWidth="1"/>
    <col min="3065" max="3065" width="1.88671875" style="2" customWidth="1"/>
    <col min="3066" max="3066" width="15.88671875" style="2" customWidth="1"/>
    <col min="3067" max="3067" width="1.88671875" style="2" customWidth="1"/>
    <col min="3068" max="3068" width="13.33203125" style="2" customWidth="1"/>
    <col min="3069" max="3069" width="1.88671875" style="2" customWidth="1"/>
    <col min="3070" max="3070" width="13.33203125" style="2" customWidth="1"/>
    <col min="3071" max="3071" width="2.33203125" style="2" customWidth="1"/>
    <col min="3072" max="3072" width="2.109375" style="2" customWidth="1"/>
    <col min="3073" max="3073" width="16.77734375" style="2" customWidth="1"/>
    <col min="3074" max="3074" width="13.6640625" style="2" customWidth="1"/>
    <col min="3075" max="3084" width="8.6640625" style="2" customWidth="1"/>
    <col min="3085" max="3085" width="20.77734375" style="2" customWidth="1"/>
    <col min="3086" max="3314" width="10.21875" style="2"/>
    <col min="3315" max="3316" width="0" style="2" hidden="1" customWidth="1"/>
    <col min="3317" max="3317" width="7.6640625" style="2" customWidth="1"/>
    <col min="3318" max="3318" width="4.21875" style="2" customWidth="1"/>
    <col min="3319" max="3319" width="98" style="2" customWidth="1"/>
    <col min="3320" max="3320" width="16.109375" style="2" customWidth="1"/>
    <col min="3321" max="3321" width="1.88671875" style="2" customWidth="1"/>
    <col min="3322" max="3322" width="15.88671875" style="2" customWidth="1"/>
    <col min="3323" max="3323" width="1.88671875" style="2" customWidth="1"/>
    <col min="3324" max="3324" width="13.33203125" style="2" customWidth="1"/>
    <col min="3325" max="3325" width="1.88671875" style="2" customWidth="1"/>
    <col min="3326" max="3326" width="13.33203125" style="2" customWidth="1"/>
    <col min="3327" max="3327" width="2.33203125" style="2" customWidth="1"/>
    <col min="3328" max="3328" width="2.109375" style="2" customWidth="1"/>
    <col min="3329" max="3329" width="16.77734375" style="2" customWidth="1"/>
    <col min="3330" max="3330" width="13.6640625" style="2" customWidth="1"/>
    <col min="3331" max="3340" width="8.6640625" style="2" customWidth="1"/>
    <col min="3341" max="3341" width="20.77734375" style="2" customWidth="1"/>
    <col min="3342" max="3570" width="10.21875" style="2"/>
    <col min="3571" max="3572" width="0" style="2" hidden="1" customWidth="1"/>
    <col min="3573" max="3573" width="7.6640625" style="2" customWidth="1"/>
    <col min="3574" max="3574" width="4.21875" style="2" customWidth="1"/>
    <col min="3575" max="3575" width="98" style="2" customWidth="1"/>
    <col min="3576" max="3576" width="16.109375" style="2" customWidth="1"/>
    <col min="3577" max="3577" width="1.88671875" style="2" customWidth="1"/>
    <col min="3578" max="3578" width="15.88671875" style="2" customWidth="1"/>
    <col min="3579" max="3579" width="1.88671875" style="2" customWidth="1"/>
    <col min="3580" max="3580" width="13.33203125" style="2" customWidth="1"/>
    <col min="3581" max="3581" width="1.88671875" style="2" customWidth="1"/>
    <col min="3582" max="3582" width="13.33203125" style="2" customWidth="1"/>
    <col min="3583" max="3583" width="2.33203125" style="2" customWidth="1"/>
    <col min="3584" max="3584" width="2.109375" style="2" customWidth="1"/>
    <col min="3585" max="3585" width="16.77734375" style="2" customWidth="1"/>
    <col min="3586" max="3586" width="13.6640625" style="2" customWidth="1"/>
    <col min="3587" max="3596" width="8.6640625" style="2" customWidth="1"/>
    <col min="3597" max="3597" width="20.77734375" style="2" customWidth="1"/>
    <col min="3598" max="3826" width="10.21875" style="2"/>
    <col min="3827" max="3828" width="0" style="2" hidden="1" customWidth="1"/>
    <col min="3829" max="3829" width="7.6640625" style="2" customWidth="1"/>
    <col min="3830" max="3830" width="4.21875" style="2" customWidth="1"/>
    <col min="3831" max="3831" width="98" style="2" customWidth="1"/>
    <col min="3832" max="3832" width="16.109375" style="2" customWidth="1"/>
    <col min="3833" max="3833" width="1.88671875" style="2" customWidth="1"/>
    <col min="3834" max="3834" width="15.88671875" style="2" customWidth="1"/>
    <col min="3835" max="3835" width="1.88671875" style="2" customWidth="1"/>
    <col min="3836" max="3836" width="13.33203125" style="2" customWidth="1"/>
    <col min="3837" max="3837" width="1.88671875" style="2" customWidth="1"/>
    <col min="3838" max="3838" width="13.33203125" style="2" customWidth="1"/>
    <col min="3839" max="3839" width="2.33203125" style="2" customWidth="1"/>
    <col min="3840" max="3840" width="2.109375" style="2" customWidth="1"/>
    <col min="3841" max="3841" width="16.77734375" style="2" customWidth="1"/>
    <col min="3842" max="3842" width="13.6640625" style="2" customWidth="1"/>
    <col min="3843" max="3852" width="8.6640625" style="2" customWidth="1"/>
    <col min="3853" max="3853" width="20.77734375" style="2" customWidth="1"/>
    <col min="3854" max="4082" width="10.21875" style="2"/>
    <col min="4083" max="4084" width="0" style="2" hidden="1" customWidth="1"/>
    <col min="4085" max="4085" width="7.6640625" style="2" customWidth="1"/>
    <col min="4086" max="4086" width="4.21875" style="2" customWidth="1"/>
    <col min="4087" max="4087" width="98" style="2" customWidth="1"/>
    <col min="4088" max="4088" width="16.109375" style="2" customWidth="1"/>
    <col min="4089" max="4089" width="1.88671875" style="2" customWidth="1"/>
    <col min="4090" max="4090" width="15.88671875" style="2" customWidth="1"/>
    <col min="4091" max="4091" width="1.88671875" style="2" customWidth="1"/>
    <col min="4092" max="4092" width="13.33203125" style="2" customWidth="1"/>
    <col min="4093" max="4093" width="1.88671875" style="2" customWidth="1"/>
    <col min="4094" max="4094" width="13.33203125" style="2" customWidth="1"/>
    <col min="4095" max="4095" width="2.33203125" style="2" customWidth="1"/>
    <col min="4096" max="4096" width="2.109375" style="2" customWidth="1"/>
    <col min="4097" max="4097" width="16.77734375" style="2" customWidth="1"/>
    <col min="4098" max="4098" width="13.6640625" style="2" customWidth="1"/>
    <col min="4099" max="4108" width="8.6640625" style="2" customWidth="1"/>
    <col min="4109" max="4109" width="20.77734375" style="2" customWidth="1"/>
    <col min="4110" max="4338" width="10.21875" style="2"/>
    <col min="4339" max="4340" width="0" style="2" hidden="1" customWidth="1"/>
    <col min="4341" max="4341" width="7.6640625" style="2" customWidth="1"/>
    <col min="4342" max="4342" width="4.21875" style="2" customWidth="1"/>
    <col min="4343" max="4343" width="98" style="2" customWidth="1"/>
    <col min="4344" max="4344" width="16.109375" style="2" customWidth="1"/>
    <col min="4345" max="4345" width="1.88671875" style="2" customWidth="1"/>
    <col min="4346" max="4346" width="15.88671875" style="2" customWidth="1"/>
    <col min="4347" max="4347" width="1.88671875" style="2" customWidth="1"/>
    <col min="4348" max="4348" width="13.33203125" style="2" customWidth="1"/>
    <col min="4349" max="4349" width="1.88671875" style="2" customWidth="1"/>
    <col min="4350" max="4350" width="13.33203125" style="2" customWidth="1"/>
    <col min="4351" max="4351" width="2.33203125" style="2" customWidth="1"/>
    <col min="4352" max="4352" width="2.109375" style="2" customWidth="1"/>
    <col min="4353" max="4353" width="16.77734375" style="2" customWidth="1"/>
    <col min="4354" max="4354" width="13.6640625" style="2" customWidth="1"/>
    <col min="4355" max="4364" width="8.6640625" style="2" customWidth="1"/>
    <col min="4365" max="4365" width="20.77734375" style="2" customWidth="1"/>
    <col min="4366" max="4594" width="10.21875" style="2"/>
    <col min="4595" max="4596" width="0" style="2" hidden="1" customWidth="1"/>
    <col min="4597" max="4597" width="7.6640625" style="2" customWidth="1"/>
    <col min="4598" max="4598" width="4.21875" style="2" customWidth="1"/>
    <col min="4599" max="4599" width="98" style="2" customWidth="1"/>
    <col min="4600" max="4600" width="16.109375" style="2" customWidth="1"/>
    <col min="4601" max="4601" width="1.88671875" style="2" customWidth="1"/>
    <col min="4602" max="4602" width="15.88671875" style="2" customWidth="1"/>
    <col min="4603" max="4603" width="1.88671875" style="2" customWidth="1"/>
    <col min="4604" max="4604" width="13.33203125" style="2" customWidth="1"/>
    <col min="4605" max="4605" width="1.88671875" style="2" customWidth="1"/>
    <col min="4606" max="4606" width="13.33203125" style="2" customWidth="1"/>
    <col min="4607" max="4607" width="2.33203125" style="2" customWidth="1"/>
    <col min="4608" max="4608" width="2.109375" style="2" customWidth="1"/>
    <col min="4609" max="4609" width="16.77734375" style="2" customWidth="1"/>
    <col min="4610" max="4610" width="13.6640625" style="2" customWidth="1"/>
    <col min="4611" max="4620" width="8.6640625" style="2" customWidth="1"/>
    <col min="4621" max="4621" width="20.77734375" style="2" customWidth="1"/>
    <col min="4622" max="4850" width="10.21875" style="2"/>
    <col min="4851" max="4852" width="0" style="2" hidden="1" customWidth="1"/>
    <col min="4853" max="4853" width="7.6640625" style="2" customWidth="1"/>
    <col min="4854" max="4854" width="4.21875" style="2" customWidth="1"/>
    <col min="4855" max="4855" width="98" style="2" customWidth="1"/>
    <col min="4856" max="4856" width="16.109375" style="2" customWidth="1"/>
    <col min="4857" max="4857" width="1.88671875" style="2" customWidth="1"/>
    <col min="4858" max="4858" width="15.88671875" style="2" customWidth="1"/>
    <col min="4859" max="4859" width="1.88671875" style="2" customWidth="1"/>
    <col min="4860" max="4860" width="13.33203125" style="2" customWidth="1"/>
    <col min="4861" max="4861" width="1.88671875" style="2" customWidth="1"/>
    <col min="4862" max="4862" width="13.33203125" style="2" customWidth="1"/>
    <col min="4863" max="4863" width="2.33203125" style="2" customWidth="1"/>
    <col min="4864" max="4864" width="2.109375" style="2" customWidth="1"/>
    <col min="4865" max="4865" width="16.77734375" style="2" customWidth="1"/>
    <col min="4866" max="4866" width="13.6640625" style="2" customWidth="1"/>
    <col min="4867" max="4876" width="8.6640625" style="2" customWidth="1"/>
    <col min="4877" max="4877" width="20.77734375" style="2" customWidth="1"/>
    <col min="4878" max="5106" width="10.21875" style="2"/>
    <col min="5107" max="5108" width="0" style="2" hidden="1" customWidth="1"/>
    <col min="5109" max="5109" width="7.6640625" style="2" customWidth="1"/>
    <col min="5110" max="5110" width="4.21875" style="2" customWidth="1"/>
    <col min="5111" max="5111" width="98" style="2" customWidth="1"/>
    <col min="5112" max="5112" width="16.109375" style="2" customWidth="1"/>
    <col min="5113" max="5113" width="1.88671875" style="2" customWidth="1"/>
    <col min="5114" max="5114" width="15.88671875" style="2" customWidth="1"/>
    <col min="5115" max="5115" width="1.88671875" style="2" customWidth="1"/>
    <col min="5116" max="5116" width="13.33203125" style="2" customWidth="1"/>
    <col min="5117" max="5117" width="1.88671875" style="2" customWidth="1"/>
    <col min="5118" max="5118" width="13.33203125" style="2" customWidth="1"/>
    <col min="5119" max="5119" width="2.33203125" style="2" customWidth="1"/>
    <col min="5120" max="5120" width="2.109375" style="2" customWidth="1"/>
    <col min="5121" max="5121" width="16.77734375" style="2" customWidth="1"/>
    <col min="5122" max="5122" width="13.6640625" style="2" customWidth="1"/>
    <col min="5123" max="5132" width="8.6640625" style="2" customWidth="1"/>
    <col min="5133" max="5133" width="20.77734375" style="2" customWidth="1"/>
    <col min="5134" max="5362" width="10.21875" style="2"/>
    <col min="5363" max="5364" width="0" style="2" hidden="1" customWidth="1"/>
    <col min="5365" max="5365" width="7.6640625" style="2" customWidth="1"/>
    <col min="5366" max="5366" width="4.21875" style="2" customWidth="1"/>
    <col min="5367" max="5367" width="98" style="2" customWidth="1"/>
    <col min="5368" max="5368" width="16.109375" style="2" customWidth="1"/>
    <col min="5369" max="5369" width="1.88671875" style="2" customWidth="1"/>
    <col min="5370" max="5370" width="15.88671875" style="2" customWidth="1"/>
    <col min="5371" max="5371" width="1.88671875" style="2" customWidth="1"/>
    <col min="5372" max="5372" width="13.33203125" style="2" customWidth="1"/>
    <col min="5373" max="5373" width="1.88671875" style="2" customWidth="1"/>
    <col min="5374" max="5374" width="13.33203125" style="2" customWidth="1"/>
    <col min="5375" max="5375" width="2.33203125" style="2" customWidth="1"/>
    <col min="5376" max="5376" width="2.109375" style="2" customWidth="1"/>
    <col min="5377" max="5377" width="16.77734375" style="2" customWidth="1"/>
    <col min="5378" max="5378" width="13.6640625" style="2" customWidth="1"/>
    <col min="5379" max="5388" width="8.6640625" style="2" customWidth="1"/>
    <col min="5389" max="5389" width="20.77734375" style="2" customWidth="1"/>
    <col min="5390" max="5618" width="10.21875" style="2"/>
    <col min="5619" max="5620" width="0" style="2" hidden="1" customWidth="1"/>
    <col min="5621" max="5621" width="7.6640625" style="2" customWidth="1"/>
    <col min="5622" max="5622" width="4.21875" style="2" customWidth="1"/>
    <col min="5623" max="5623" width="98" style="2" customWidth="1"/>
    <col min="5624" max="5624" width="16.109375" style="2" customWidth="1"/>
    <col min="5625" max="5625" width="1.88671875" style="2" customWidth="1"/>
    <col min="5626" max="5626" width="15.88671875" style="2" customWidth="1"/>
    <col min="5627" max="5627" width="1.88671875" style="2" customWidth="1"/>
    <col min="5628" max="5628" width="13.33203125" style="2" customWidth="1"/>
    <col min="5629" max="5629" width="1.88671875" style="2" customWidth="1"/>
    <col min="5630" max="5630" width="13.33203125" style="2" customWidth="1"/>
    <col min="5631" max="5631" width="2.33203125" style="2" customWidth="1"/>
    <col min="5632" max="5632" width="2.109375" style="2" customWidth="1"/>
    <col min="5633" max="5633" width="16.77734375" style="2" customWidth="1"/>
    <col min="5634" max="5634" width="13.6640625" style="2" customWidth="1"/>
    <col min="5635" max="5644" width="8.6640625" style="2" customWidth="1"/>
    <col min="5645" max="5645" width="20.77734375" style="2" customWidth="1"/>
    <col min="5646" max="5874" width="10.21875" style="2"/>
    <col min="5875" max="5876" width="0" style="2" hidden="1" customWidth="1"/>
    <col min="5877" max="5877" width="7.6640625" style="2" customWidth="1"/>
    <col min="5878" max="5878" width="4.21875" style="2" customWidth="1"/>
    <col min="5879" max="5879" width="98" style="2" customWidth="1"/>
    <col min="5880" max="5880" width="16.109375" style="2" customWidth="1"/>
    <col min="5881" max="5881" width="1.88671875" style="2" customWidth="1"/>
    <col min="5882" max="5882" width="15.88671875" style="2" customWidth="1"/>
    <col min="5883" max="5883" width="1.88671875" style="2" customWidth="1"/>
    <col min="5884" max="5884" width="13.33203125" style="2" customWidth="1"/>
    <col min="5885" max="5885" width="1.88671875" style="2" customWidth="1"/>
    <col min="5886" max="5886" width="13.33203125" style="2" customWidth="1"/>
    <col min="5887" max="5887" width="2.33203125" style="2" customWidth="1"/>
    <col min="5888" max="5888" width="2.109375" style="2" customWidth="1"/>
    <col min="5889" max="5889" width="16.77734375" style="2" customWidth="1"/>
    <col min="5890" max="5890" width="13.6640625" style="2" customWidth="1"/>
    <col min="5891" max="5900" width="8.6640625" style="2" customWidth="1"/>
    <col min="5901" max="5901" width="20.77734375" style="2" customWidth="1"/>
    <col min="5902" max="6130" width="10.21875" style="2"/>
    <col min="6131" max="6132" width="0" style="2" hidden="1" customWidth="1"/>
    <col min="6133" max="6133" width="7.6640625" style="2" customWidth="1"/>
    <col min="6134" max="6134" width="4.21875" style="2" customWidth="1"/>
    <col min="6135" max="6135" width="98" style="2" customWidth="1"/>
    <col min="6136" max="6136" width="16.109375" style="2" customWidth="1"/>
    <col min="6137" max="6137" width="1.88671875" style="2" customWidth="1"/>
    <col min="6138" max="6138" width="15.88671875" style="2" customWidth="1"/>
    <col min="6139" max="6139" width="1.88671875" style="2" customWidth="1"/>
    <col min="6140" max="6140" width="13.33203125" style="2" customWidth="1"/>
    <col min="6141" max="6141" width="1.88671875" style="2" customWidth="1"/>
    <col min="6142" max="6142" width="13.33203125" style="2" customWidth="1"/>
    <col min="6143" max="6143" width="2.33203125" style="2" customWidth="1"/>
    <col min="6144" max="6144" width="2.109375" style="2" customWidth="1"/>
    <col min="6145" max="6145" width="16.77734375" style="2" customWidth="1"/>
    <col min="6146" max="6146" width="13.6640625" style="2" customWidth="1"/>
    <col min="6147" max="6156" width="8.6640625" style="2" customWidth="1"/>
    <col min="6157" max="6157" width="20.77734375" style="2" customWidth="1"/>
    <col min="6158" max="6386" width="10.21875" style="2"/>
    <col min="6387" max="6388" width="0" style="2" hidden="1" customWidth="1"/>
    <col min="6389" max="6389" width="7.6640625" style="2" customWidth="1"/>
    <col min="6390" max="6390" width="4.21875" style="2" customWidth="1"/>
    <col min="6391" max="6391" width="98" style="2" customWidth="1"/>
    <col min="6392" max="6392" width="16.109375" style="2" customWidth="1"/>
    <col min="6393" max="6393" width="1.88671875" style="2" customWidth="1"/>
    <col min="6394" max="6394" width="15.88671875" style="2" customWidth="1"/>
    <col min="6395" max="6395" width="1.88671875" style="2" customWidth="1"/>
    <col min="6396" max="6396" width="13.33203125" style="2" customWidth="1"/>
    <col min="6397" max="6397" width="1.88671875" style="2" customWidth="1"/>
    <col min="6398" max="6398" width="13.33203125" style="2" customWidth="1"/>
    <col min="6399" max="6399" width="2.33203125" style="2" customWidth="1"/>
    <col min="6400" max="6400" width="2.109375" style="2" customWidth="1"/>
    <col min="6401" max="6401" width="16.77734375" style="2" customWidth="1"/>
    <col min="6402" max="6402" width="13.6640625" style="2" customWidth="1"/>
    <col min="6403" max="6412" width="8.6640625" style="2" customWidth="1"/>
    <col min="6413" max="6413" width="20.77734375" style="2" customWidth="1"/>
    <col min="6414" max="6642" width="10.21875" style="2"/>
    <col min="6643" max="6644" width="0" style="2" hidden="1" customWidth="1"/>
    <col min="6645" max="6645" width="7.6640625" style="2" customWidth="1"/>
    <col min="6646" max="6646" width="4.21875" style="2" customWidth="1"/>
    <col min="6647" max="6647" width="98" style="2" customWidth="1"/>
    <col min="6648" max="6648" width="16.109375" style="2" customWidth="1"/>
    <col min="6649" max="6649" width="1.88671875" style="2" customWidth="1"/>
    <col min="6650" max="6650" width="15.88671875" style="2" customWidth="1"/>
    <col min="6651" max="6651" width="1.88671875" style="2" customWidth="1"/>
    <col min="6652" max="6652" width="13.33203125" style="2" customWidth="1"/>
    <col min="6653" max="6653" width="1.88671875" style="2" customWidth="1"/>
    <col min="6654" max="6654" width="13.33203125" style="2" customWidth="1"/>
    <col min="6655" max="6655" width="2.33203125" style="2" customWidth="1"/>
    <col min="6656" max="6656" width="2.109375" style="2" customWidth="1"/>
    <col min="6657" max="6657" width="16.77734375" style="2" customWidth="1"/>
    <col min="6658" max="6658" width="13.6640625" style="2" customWidth="1"/>
    <col min="6659" max="6668" width="8.6640625" style="2" customWidth="1"/>
    <col min="6669" max="6669" width="20.77734375" style="2" customWidth="1"/>
    <col min="6670" max="6898" width="10.21875" style="2"/>
    <col min="6899" max="6900" width="0" style="2" hidden="1" customWidth="1"/>
    <col min="6901" max="6901" width="7.6640625" style="2" customWidth="1"/>
    <col min="6902" max="6902" width="4.21875" style="2" customWidth="1"/>
    <col min="6903" max="6903" width="98" style="2" customWidth="1"/>
    <col min="6904" max="6904" width="16.109375" style="2" customWidth="1"/>
    <col min="6905" max="6905" width="1.88671875" style="2" customWidth="1"/>
    <col min="6906" max="6906" width="15.88671875" style="2" customWidth="1"/>
    <col min="6907" max="6907" width="1.88671875" style="2" customWidth="1"/>
    <col min="6908" max="6908" width="13.33203125" style="2" customWidth="1"/>
    <col min="6909" max="6909" width="1.88671875" style="2" customWidth="1"/>
    <col min="6910" max="6910" width="13.33203125" style="2" customWidth="1"/>
    <col min="6911" max="6911" width="2.33203125" style="2" customWidth="1"/>
    <col min="6912" max="6912" width="2.109375" style="2" customWidth="1"/>
    <col min="6913" max="6913" width="16.77734375" style="2" customWidth="1"/>
    <col min="6914" max="6914" width="13.6640625" style="2" customWidth="1"/>
    <col min="6915" max="6924" width="8.6640625" style="2" customWidth="1"/>
    <col min="6925" max="6925" width="20.77734375" style="2" customWidth="1"/>
    <col min="6926" max="7154" width="10.21875" style="2"/>
    <col min="7155" max="7156" width="0" style="2" hidden="1" customWidth="1"/>
    <col min="7157" max="7157" width="7.6640625" style="2" customWidth="1"/>
    <col min="7158" max="7158" width="4.21875" style="2" customWidth="1"/>
    <col min="7159" max="7159" width="98" style="2" customWidth="1"/>
    <col min="7160" max="7160" width="16.109375" style="2" customWidth="1"/>
    <col min="7161" max="7161" width="1.88671875" style="2" customWidth="1"/>
    <col min="7162" max="7162" width="15.88671875" style="2" customWidth="1"/>
    <col min="7163" max="7163" width="1.88671875" style="2" customWidth="1"/>
    <col min="7164" max="7164" width="13.33203125" style="2" customWidth="1"/>
    <col min="7165" max="7165" width="1.88671875" style="2" customWidth="1"/>
    <col min="7166" max="7166" width="13.33203125" style="2" customWidth="1"/>
    <col min="7167" max="7167" width="2.33203125" style="2" customWidth="1"/>
    <col min="7168" max="7168" width="2.109375" style="2" customWidth="1"/>
    <col min="7169" max="7169" width="16.77734375" style="2" customWidth="1"/>
    <col min="7170" max="7170" width="13.6640625" style="2" customWidth="1"/>
    <col min="7171" max="7180" width="8.6640625" style="2" customWidth="1"/>
    <col min="7181" max="7181" width="20.77734375" style="2" customWidth="1"/>
    <col min="7182" max="7410" width="10.21875" style="2"/>
    <col min="7411" max="7412" width="0" style="2" hidden="1" customWidth="1"/>
    <col min="7413" max="7413" width="7.6640625" style="2" customWidth="1"/>
    <col min="7414" max="7414" width="4.21875" style="2" customWidth="1"/>
    <col min="7415" max="7415" width="98" style="2" customWidth="1"/>
    <col min="7416" max="7416" width="16.109375" style="2" customWidth="1"/>
    <col min="7417" max="7417" width="1.88671875" style="2" customWidth="1"/>
    <col min="7418" max="7418" width="15.88671875" style="2" customWidth="1"/>
    <col min="7419" max="7419" width="1.88671875" style="2" customWidth="1"/>
    <col min="7420" max="7420" width="13.33203125" style="2" customWidth="1"/>
    <col min="7421" max="7421" width="1.88671875" style="2" customWidth="1"/>
    <col min="7422" max="7422" width="13.33203125" style="2" customWidth="1"/>
    <col min="7423" max="7423" width="2.33203125" style="2" customWidth="1"/>
    <col min="7424" max="7424" width="2.109375" style="2" customWidth="1"/>
    <col min="7425" max="7425" width="16.77734375" style="2" customWidth="1"/>
    <col min="7426" max="7426" width="13.6640625" style="2" customWidth="1"/>
    <col min="7427" max="7436" width="8.6640625" style="2" customWidth="1"/>
    <col min="7437" max="7437" width="20.77734375" style="2" customWidth="1"/>
    <col min="7438" max="7666" width="10.21875" style="2"/>
    <col min="7667" max="7668" width="0" style="2" hidden="1" customWidth="1"/>
    <col min="7669" max="7669" width="7.6640625" style="2" customWidth="1"/>
    <col min="7670" max="7670" width="4.21875" style="2" customWidth="1"/>
    <col min="7671" max="7671" width="98" style="2" customWidth="1"/>
    <col min="7672" max="7672" width="16.109375" style="2" customWidth="1"/>
    <col min="7673" max="7673" width="1.88671875" style="2" customWidth="1"/>
    <col min="7674" max="7674" width="15.88671875" style="2" customWidth="1"/>
    <col min="7675" max="7675" width="1.88671875" style="2" customWidth="1"/>
    <col min="7676" max="7676" width="13.33203125" style="2" customWidth="1"/>
    <col min="7677" max="7677" width="1.88671875" style="2" customWidth="1"/>
    <col min="7678" max="7678" width="13.33203125" style="2" customWidth="1"/>
    <col min="7679" max="7679" width="2.33203125" style="2" customWidth="1"/>
    <col min="7680" max="7680" width="2.109375" style="2" customWidth="1"/>
    <col min="7681" max="7681" width="16.77734375" style="2" customWidth="1"/>
    <col min="7682" max="7682" width="13.6640625" style="2" customWidth="1"/>
    <col min="7683" max="7692" width="8.6640625" style="2" customWidth="1"/>
    <col min="7693" max="7693" width="20.77734375" style="2" customWidth="1"/>
    <col min="7694" max="7922" width="10.21875" style="2"/>
    <col min="7923" max="7924" width="0" style="2" hidden="1" customWidth="1"/>
    <col min="7925" max="7925" width="7.6640625" style="2" customWidth="1"/>
    <col min="7926" max="7926" width="4.21875" style="2" customWidth="1"/>
    <col min="7927" max="7927" width="98" style="2" customWidth="1"/>
    <col min="7928" max="7928" width="16.109375" style="2" customWidth="1"/>
    <col min="7929" max="7929" width="1.88671875" style="2" customWidth="1"/>
    <col min="7930" max="7930" width="15.88671875" style="2" customWidth="1"/>
    <col min="7931" max="7931" width="1.88671875" style="2" customWidth="1"/>
    <col min="7932" max="7932" width="13.33203125" style="2" customWidth="1"/>
    <col min="7933" max="7933" width="1.88671875" style="2" customWidth="1"/>
    <col min="7934" max="7934" width="13.33203125" style="2" customWidth="1"/>
    <col min="7935" max="7935" width="2.33203125" style="2" customWidth="1"/>
    <col min="7936" max="7936" width="2.109375" style="2" customWidth="1"/>
    <col min="7937" max="7937" width="16.77734375" style="2" customWidth="1"/>
    <col min="7938" max="7938" width="13.6640625" style="2" customWidth="1"/>
    <col min="7939" max="7948" width="8.6640625" style="2" customWidth="1"/>
    <col min="7949" max="7949" width="20.77734375" style="2" customWidth="1"/>
    <col min="7950" max="8178" width="10.21875" style="2"/>
    <col min="8179" max="8180" width="0" style="2" hidden="1" customWidth="1"/>
    <col min="8181" max="8181" width="7.6640625" style="2" customWidth="1"/>
    <col min="8182" max="8182" width="4.21875" style="2" customWidth="1"/>
    <col min="8183" max="8183" width="98" style="2" customWidth="1"/>
    <col min="8184" max="8184" width="16.109375" style="2" customWidth="1"/>
    <col min="8185" max="8185" width="1.88671875" style="2" customWidth="1"/>
    <col min="8186" max="8186" width="15.88671875" style="2" customWidth="1"/>
    <col min="8187" max="8187" width="1.88671875" style="2" customWidth="1"/>
    <col min="8188" max="8188" width="13.33203125" style="2" customWidth="1"/>
    <col min="8189" max="8189" width="1.88671875" style="2" customWidth="1"/>
    <col min="8190" max="8190" width="13.33203125" style="2" customWidth="1"/>
    <col min="8191" max="8191" width="2.33203125" style="2" customWidth="1"/>
    <col min="8192" max="8192" width="2.109375" style="2" customWidth="1"/>
    <col min="8193" max="8193" width="16.77734375" style="2" customWidth="1"/>
    <col min="8194" max="8194" width="13.6640625" style="2" customWidth="1"/>
    <col min="8195" max="8204" width="8.6640625" style="2" customWidth="1"/>
    <col min="8205" max="8205" width="20.77734375" style="2" customWidth="1"/>
    <col min="8206" max="8434" width="10.21875" style="2"/>
    <col min="8435" max="8436" width="0" style="2" hidden="1" customWidth="1"/>
    <col min="8437" max="8437" width="7.6640625" style="2" customWidth="1"/>
    <col min="8438" max="8438" width="4.21875" style="2" customWidth="1"/>
    <col min="8439" max="8439" width="98" style="2" customWidth="1"/>
    <col min="8440" max="8440" width="16.109375" style="2" customWidth="1"/>
    <col min="8441" max="8441" width="1.88671875" style="2" customWidth="1"/>
    <col min="8442" max="8442" width="15.88671875" style="2" customWidth="1"/>
    <col min="8443" max="8443" width="1.88671875" style="2" customWidth="1"/>
    <col min="8444" max="8444" width="13.33203125" style="2" customWidth="1"/>
    <col min="8445" max="8445" width="1.88671875" style="2" customWidth="1"/>
    <col min="8446" max="8446" width="13.33203125" style="2" customWidth="1"/>
    <col min="8447" max="8447" width="2.33203125" style="2" customWidth="1"/>
    <col min="8448" max="8448" width="2.109375" style="2" customWidth="1"/>
    <col min="8449" max="8449" width="16.77734375" style="2" customWidth="1"/>
    <col min="8450" max="8450" width="13.6640625" style="2" customWidth="1"/>
    <col min="8451" max="8460" width="8.6640625" style="2" customWidth="1"/>
    <col min="8461" max="8461" width="20.77734375" style="2" customWidth="1"/>
    <col min="8462" max="8690" width="10.21875" style="2"/>
    <col min="8691" max="8692" width="0" style="2" hidden="1" customWidth="1"/>
    <col min="8693" max="8693" width="7.6640625" style="2" customWidth="1"/>
    <col min="8694" max="8694" width="4.21875" style="2" customWidth="1"/>
    <col min="8695" max="8695" width="98" style="2" customWidth="1"/>
    <col min="8696" max="8696" width="16.109375" style="2" customWidth="1"/>
    <col min="8697" max="8697" width="1.88671875" style="2" customWidth="1"/>
    <col min="8698" max="8698" width="15.88671875" style="2" customWidth="1"/>
    <col min="8699" max="8699" width="1.88671875" style="2" customWidth="1"/>
    <col min="8700" max="8700" width="13.33203125" style="2" customWidth="1"/>
    <col min="8701" max="8701" width="1.88671875" style="2" customWidth="1"/>
    <col min="8702" max="8702" width="13.33203125" style="2" customWidth="1"/>
    <col min="8703" max="8703" width="2.33203125" style="2" customWidth="1"/>
    <col min="8704" max="8704" width="2.109375" style="2" customWidth="1"/>
    <col min="8705" max="8705" width="16.77734375" style="2" customWidth="1"/>
    <col min="8706" max="8706" width="13.6640625" style="2" customWidth="1"/>
    <col min="8707" max="8716" width="8.6640625" style="2" customWidth="1"/>
    <col min="8717" max="8717" width="20.77734375" style="2" customWidth="1"/>
    <col min="8718" max="8946" width="10.21875" style="2"/>
    <col min="8947" max="8948" width="0" style="2" hidden="1" customWidth="1"/>
    <col min="8949" max="8949" width="7.6640625" style="2" customWidth="1"/>
    <col min="8950" max="8950" width="4.21875" style="2" customWidth="1"/>
    <col min="8951" max="8951" width="98" style="2" customWidth="1"/>
    <col min="8952" max="8952" width="16.109375" style="2" customWidth="1"/>
    <col min="8953" max="8953" width="1.88671875" style="2" customWidth="1"/>
    <col min="8954" max="8954" width="15.88671875" style="2" customWidth="1"/>
    <col min="8955" max="8955" width="1.88671875" style="2" customWidth="1"/>
    <col min="8956" max="8956" width="13.33203125" style="2" customWidth="1"/>
    <col min="8957" max="8957" width="1.88671875" style="2" customWidth="1"/>
    <col min="8958" max="8958" width="13.33203125" style="2" customWidth="1"/>
    <col min="8959" max="8959" width="2.33203125" style="2" customWidth="1"/>
    <col min="8960" max="8960" width="2.109375" style="2" customWidth="1"/>
    <col min="8961" max="8961" width="16.77734375" style="2" customWidth="1"/>
    <col min="8962" max="8962" width="13.6640625" style="2" customWidth="1"/>
    <col min="8963" max="8972" width="8.6640625" style="2" customWidth="1"/>
    <col min="8973" max="8973" width="20.77734375" style="2" customWidth="1"/>
    <col min="8974" max="9202" width="10.21875" style="2"/>
    <col min="9203" max="9204" width="0" style="2" hidden="1" customWidth="1"/>
    <col min="9205" max="9205" width="7.6640625" style="2" customWidth="1"/>
    <col min="9206" max="9206" width="4.21875" style="2" customWidth="1"/>
    <col min="9207" max="9207" width="98" style="2" customWidth="1"/>
    <col min="9208" max="9208" width="16.109375" style="2" customWidth="1"/>
    <col min="9209" max="9209" width="1.88671875" style="2" customWidth="1"/>
    <col min="9210" max="9210" width="15.88671875" style="2" customWidth="1"/>
    <col min="9211" max="9211" width="1.88671875" style="2" customWidth="1"/>
    <col min="9212" max="9212" width="13.33203125" style="2" customWidth="1"/>
    <col min="9213" max="9213" width="1.88671875" style="2" customWidth="1"/>
    <col min="9214" max="9214" width="13.33203125" style="2" customWidth="1"/>
    <col min="9215" max="9215" width="2.33203125" style="2" customWidth="1"/>
    <col min="9216" max="9216" width="2.109375" style="2" customWidth="1"/>
    <col min="9217" max="9217" width="16.77734375" style="2" customWidth="1"/>
    <col min="9218" max="9218" width="13.6640625" style="2" customWidth="1"/>
    <col min="9219" max="9228" width="8.6640625" style="2" customWidth="1"/>
    <col min="9229" max="9229" width="20.77734375" style="2" customWidth="1"/>
    <col min="9230" max="9458" width="10.21875" style="2"/>
    <col min="9459" max="9460" width="0" style="2" hidden="1" customWidth="1"/>
    <col min="9461" max="9461" width="7.6640625" style="2" customWidth="1"/>
    <col min="9462" max="9462" width="4.21875" style="2" customWidth="1"/>
    <col min="9463" max="9463" width="98" style="2" customWidth="1"/>
    <col min="9464" max="9464" width="16.109375" style="2" customWidth="1"/>
    <col min="9465" max="9465" width="1.88671875" style="2" customWidth="1"/>
    <col min="9466" max="9466" width="15.88671875" style="2" customWidth="1"/>
    <col min="9467" max="9467" width="1.88671875" style="2" customWidth="1"/>
    <col min="9468" max="9468" width="13.33203125" style="2" customWidth="1"/>
    <col min="9469" max="9469" width="1.88671875" style="2" customWidth="1"/>
    <col min="9470" max="9470" width="13.33203125" style="2" customWidth="1"/>
    <col min="9471" max="9471" width="2.33203125" style="2" customWidth="1"/>
    <col min="9472" max="9472" width="2.109375" style="2" customWidth="1"/>
    <col min="9473" max="9473" width="16.77734375" style="2" customWidth="1"/>
    <col min="9474" max="9474" width="13.6640625" style="2" customWidth="1"/>
    <col min="9475" max="9484" width="8.6640625" style="2" customWidth="1"/>
    <col min="9485" max="9485" width="20.77734375" style="2" customWidth="1"/>
    <col min="9486" max="9714" width="10.21875" style="2"/>
    <col min="9715" max="9716" width="0" style="2" hidden="1" customWidth="1"/>
    <col min="9717" max="9717" width="7.6640625" style="2" customWidth="1"/>
    <col min="9718" max="9718" width="4.21875" style="2" customWidth="1"/>
    <col min="9719" max="9719" width="98" style="2" customWidth="1"/>
    <col min="9720" max="9720" width="16.109375" style="2" customWidth="1"/>
    <col min="9721" max="9721" width="1.88671875" style="2" customWidth="1"/>
    <col min="9722" max="9722" width="15.88671875" style="2" customWidth="1"/>
    <col min="9723" max="9723" width="1.88671875" style="2" customWidth="1"/>
    <col min="9724" max="9724" width="13.33203125" style="2" customWidth="1"/>
    <col min="9725" max="9725" width="1.88671875" style="2" customWidth="1"/>
    <col min="9726" max="9726" width="13.33203125" style="2" customWidth="1"/>
    <col min="9727" max="9727" width="2.33203125" style="2" customWidth="1"/>
    <col min="9728" max="9728" width="2.109375" style="2" customWidth="1"/>
    <col min="9729" max="9729" width="16.77734375" style="2" customWidth="1"/>
    <col min="9730" max="9730" width="13.6640625" style="2" customWidth="1"/>
    <col min="9731" max="9740" width="8.6640625" style="2" customWidth="1"/>
    <col min="9741" max="9741" width="20.77734375" style="2" customWidth="1"/>
    <col min="9742" max="9970" width="10.21875" style="2"/>
    <col min="9971" max="9972" width="0" style="2" hidden="1" customWidth="1"/>
    <col min="9973" max="9973" width="7.6640625" style="2" customWidth="1"/>
    <col min="9974" max="9974" width="4.21875" style="2" customWidth="1"/>
    <col min="9975" max="9975" width="98" style="2" customWidth="1"/>
    <col min="9976" max="9976" width="16.109375" style="2" customWidth="1"/>
    <col min="9977" max="9977" width="1.88671875" style="2" customWidth="1"/>
    <col min="9978" max="9978" width="15.88671875" style="2" customWidth="1"/>
    <col min="9979" max="9979" width="1.88671875" style="2" customWidth="1"/>
    <col min="9980" max="9980" width="13.33203125" style="2" customWidth="1"/>
    <col min="9981" max="9981" width="1.88671875" style="2" customWidth="1"/>
    <col min="9982" max="9982" width="13.33203125" style="2" customWidth="1"/>
    <col min="9983" max="9983" width="2.33203125" style="2" customWidth="1"/>
    <col min="9984" max="9984" width="2.109375" style="2" customWidth="1"/>
    <col min="9985" max="9985" width="16.77734375" style="2" customWidth="1"/>
    <col min="9986" max="9986" width="13.6640625" style="2" customWidth="1"/>
    <col min="9987" max="9996" width="8.6640625" style="2" customWidth="1"/>
    <col min="9997" max="9997" width="20.77734375" style="2" customWidth="1"/>
    <col min="9998" max="10226" width="10.21875" style="2"/>
    <col min="10227" max="10228" width="0" style="2" hidden="1" customWidth="1"/>
    <col min="10229" max="10229" width="7.6640625" style="2" customWidth="1"/>
    <col min="10230" max="10230" width="4.21875" style="2" customWidth="1"/>
    <col min="10231" max="10231" width="98" style="2" customWidth="1"/>
    <col min="10232" max="10232" width="16.109375" style="2" customWidth="1"/>
    <col min="10233" max="10233" width="1.88671875" style="2" customWidth="1"/>
    <col min="10234" max="10234" width="15.88671875" style="2" customWidth="1"/>
    <col min="10235" max="10235" width="1.88671875" style="2" customWidth="1"/>
    <col min="10236" max="10236" width="13.33203125" style="2" customWidth="1"/>
    <col min="10237" max="10237" width="1.88671875" style="2" customWidth="1"/>
    <col min="10238" max="10238" width="13.33203125" style="2" customWidth="1"/>
    <col min="10239" max="10239" width="2.33203125" style="2" customWidth="1"/>
    <col min="10240" max="10240" width="2.109375" style="2" customWidth="1"/>
    <col min="10241" max="10241" width="16.77734375" style="2" customWidth="1"/>
    <col min="10242" max="10242" width="13.6640625" style="2" customWidth="1"/>
    <col min="10243" max="10252" width="8.6640625" style="2" customWidth="1"/>
    <col min="10253" max="10253" width="20.77734375" style="2" customWidth="1"/>
    <col min="10254" max="10482" width="10.21875" style="2"/>
    <col min="10483" max="10484" width="0" style="2" hidden="1" customWidth="1"/>
    <col min="10485" max="10485" width="7.6640625" style="2" customWidth="1"/>
    <col min="10486" max="10486" width="4.21875" style="2" customWidth="1"/>
    <col min="10487" max="10487" width="98" style="2" customWidth="1"/>
    <col min="10488" max="10488" width="16.109375" style="2" customWidth="1"/>
    <col min="10489" max="10489" width="1.88671875" style="2" customWidth="1"/>
    <col min="10490" max="10490" width="15.88671875" style="2" customWidth="1"/>
    <col min="10491" max="10491" width="1.88671875" style="2" customWidth="1"/>
    <col min="10492" max="10492" width="13.33203125" style="2" customWidth="1"/>
    <col min="10493" max="10493" width="1.88671875" style="2" customWidth="1"/>
    <col min="10494" max="10494" width="13.33203125" style="2" customWidth="1"/>
    <col min="10495" max="10495" width="2.33203125" style="2" customWidth="1"/>
    <col min="10496" max="10496" width="2.109375" style="2" customWidth="1"/>
    <col min="10497" max="10497" width="16.77734375" style="2" customWidth="1"/>
    <col min="10498" max="10498" width="13.6640625" style="2" customWidth="1"/>
    <col min="10499" max="10508" width="8.6640625" style="2" customWidth="1"/>
    <col min="10509" max="10509" width="20.77734375" style="2" customWidth="1"/>
    <col min="10510" max="10738" width="10.21875" style="2"/>
    <col min="10739" max="10740" width="0" style="2" hidden="1" customWidth="1"/>
    <col min="10741" max="10741" width="7.6640625" style="2" customWidth="1"/>
    <col min="10742" max="10742" width="4.21875" style="2" customWidth="1"/>
    <col min="10743" max="10743" width="98" style="2" customWidth="1"/>
    <col min="10744" max="10744" width="16.109375" style="2" customWidth="1"/>
    <col min="10745" max="10745" width="1.88671875" style="2" customWidth="1"/>
    <col min="10746" max="10746" width="15.88671875" style="2" customWidth="1"/>
    <col min="10747" max="10747" width="1.88671875" style="2" customWidth="1"/>
    <col min="10748" max="10748" width="13.33203125" style="2" customWidth="1"/>
    <col min="10749" max="10749" width="1.88671875" style="2" customWidth="1"/>
    <col min="10750" max="10750" width="13.33203125" style="2" customWidth="1"/>
    <col min="10751" max="10751" width="2.33203125" style="2" customWidth="1"/>
    <col min="10752" max="10752" width="2.109375" style="2" customWidth="1"/>
    <col min="10753" max="10753" width="16.77734375" style="2" customWidth="1"/>
    <col min="10754" max="10754" width="13.6640625" style="2" customWidth="1"/>
    <col min="10755" max="10764" width="8.6640625" style="2" customWidth="1"/>
    <col min="10765" max="10765" width="20.77734375" style="2" customWidth="1"/>
    <col min="10766" max="10994" width="10.21875" style="2"/>
    <col min="10995" max="10996" width="0" style="2" hidden="1" customWidth="1"/>
    <col min="10997" max="10997" width="7.6640625" style="2" customWidth="1"/>
    <col min="10998" max="10998" width="4.21875" style="2" customWidth="1"/>
    <col min="10999" max="10999" width="98" style="2" customWidth="1"/>
    <col min="11000" max="11000" width="16.109375" style="2" customWidth="1"/>
    <col min="11001" max="11001" width="1.88671875" style="2" customWidth="1"/>
    <col min="11002" max="11002" width="15.88671875" style="2" customWidth="1"/>
    <col min="11003" max="11003" width="1.88671875" style="2" customWidth="1"/>
    <col min="11004" max="11004" width="13.33203125" style="2" customWidth="1"/>
    <col min="11005" max="11005" width="1.88671875" style="2" customWidth="1"/>
    <col min="11006" max="11006" width="13.33203125" style="2" customWidth="1"/>
    <col min="11007" max="11007" width="2.33203125" style="2" customWidth="1"/>
    <col min="11008" max="11008" width="2.109375" style="2" customWidth="1"/>
    <col min="11009" max="11009" width="16.77734375" style="2" customWidth="1"/>
    <col min="11010" max="11010" width="13.6640625" style="2" customWidth="1"/>
    <col min="11011" max="11020" width="8.6640625" style="2" customWidth="1"/>
    <col min="11021" max="11021" width="20.77734375" style="2" customWidth="1"/>
    <col min="11022" max="11250" width="10.21875" style="2"/>
    <col min="11251" max="11252" width="0" style="2" hidden="1" customWidth="1"/>
    <col min="11253" max="11253" width="7.6640625" style="2" customWidth="1"/>
    <col min="11254" max="11254" width="4.21875" style="2" customWidth="1"/>
    <col min="11255" max="11255" width="98" style="2" customWidth="1"/>
    <col min="11256" max="11256" width="16.109375" style="2" customWidth="1"/>
    <col min="11257" max="11257" width="1.88671875" style="2" customWidth="1"/>
    <col min="11258" max="11258" width="15.88671875" style="2" customWidth="1"/>
    <col min="11259" max="11259" width="1.88671875" style="2" customWidth="1"/>
    <col min="11260" max="11260" width="13.33203125" style="2" customWidth="1"/>
    <col min="11261" max="11261" width="1.88671875" style="2" customWidth="1"/>
    <col min="11262" max="11262" width="13.33203125" style="2" customWidth="1"/>
    <col min="11263" max="11263" width="2.33203125" style="2" customWidth="1"/>
    <col min="11264" max="11264" width="2.109375" style="2" customWidth="1"/>
    <col min="11265" max="11265" width="16.77734375" style="2" customWidth="1"/>
    <col min="11266" max="11266" width="13.6640625" style="2" customWidth="1"/>
    <col min="11267" max="11276" width="8.6640625" style="2" customWidth="1"/>
    <col min="11277" max="11277" width="20.77734375" style="2" customWidth="1"/>
    <col min="11278" max="11506" width="10.21875" style="2"/>
    <col min="11507" max="11508" width="0" style="2" hidden="1" customWidth="1"/>
    <col min="11509" max="11509" width="7.6640625" style="2" customWidth="1"/>
    <col min="11510" max="11510" width="4.21875" style="2" customWidth="1"/>
    <col min="11511" max="11511" width="98" style="2" customWidth="1"/>
    <col min="11512" max="11512" width="16.109375" style="2" customWidth="1"/>
    <col min="11513" max="11513" width="1.88671875" style="2" customWidth="1"/>
    <col min="11514" max="11514" width="15.88671875" style="2" customWidth="1"/>
    <col min="11515" max="11515" width="1.88671875" style="2" customWidth="1"/>
    <col min="11516" max="11516" width="13.33203125" style="2" customWidth="1"/>
    <col min="11517" max="11517" width="1.88671875" style="2" customWidth="1"/>
    <col min="11518" max="11518" width="13.33203125" style="2" customWidth="1"/>
    <col min="11519" max="11519" width="2.33203125" style="2" customWidth="1"/>
    <col min="11520" max="11520" width="2.109375" style="2" customWidth="1"/>
    <col min="11521" max="11521" width="16.77734375" style="2" customWidth="1"/>
    <col min="11522" max="11522" width="13.6640625" style="2" customWidth="1"/>
    <col min="11523" max="11532" width="8.6640625" style="2" customWidth="1"/>
    <col min="11533" max="11533" width="20.77734375" style="2" customWidth="1"/>
    <col min="11534" max="11762" width="10.21875" style="2"/>
    <col min="11763" max="11764" width="0" style="2" hidden="1" customWidth="1"/>
    <col min="11765" max="11765" width="7.6640625" style="2" customWidth="1"/>
    <col min="11766" max="11766" width="4.21875" style="2" customWidth="1"/>
    <col min="11767" max="11767" width="98" style="2" customWidth="1"/>
    <col min="11768" max="11768" width="16.109375" style="2" customWidth="1"/>
    <col min="11769" max="11769" width="1.88671875" style="2" customWidth="1"/>
    <col min="11770" max="11770" width="15.88671875" style="2" customWidth="1"/>
    <col min="11771" max="11771" width="1.88671875" style="2" customWidth="1"/>
    <col min="11772" max="11772" width="13.33203125" style="2" customWidth="1"/>
    <col min="11773" max="11773" width="1.88671875" style="2" customWidth="1"/>
    <col min="11774" max="11774" width="13.33203125" style="2" customWidth="1"/>
    <col min="11775" max="11775" width="2.33203125" style="2" customWidth="1"/>
    <col min="11776" max="11776" width="2.109375" style="2" customWidth="1"/>
    <col min="11777" max="11777" width="16.77734375" style="2" customWidth="1"/>
    <col min="11778" max="11778" width="13.6640625" style="2" customWidth="1"/>
    <col min="11779" max="11788" width="8.6640625" style="2" customWidth="1"/>
    <col min="11789" max="11789" width="20.77734375" style="2" customWidth="1"/>
    <col min="11790" max="12018" width="10.21875" style="2"/>
    <col min="12019" max="12020" width="0" style="2" hidden="1" customWidth="1"/>
    <col min="12021" max="12021" width="7.6640625" style="2" customWidth="1"/>
    <col min="12022" max="12022" width="4.21875" style="2" customWidth="1"/>
    <col min="12023" max="12023" width="98" style="2" customWidth="1"/>
    <col min="12024" max="12024" width="16.109375" style="2" customWidth="1"/>
    <col min="12025" max="12025" width="1.88671875" style="2" customWidth="1"/>
    <col min="12026" max="12026" width="15.88671875" style="2" customWidth="1"/>
    <col min="12027" max="12027" width="1.88671875" style="2" customWidth="1"/>
    <col min="12028" max="12028" width="13.33203125" style="2" customWidth="1"/>
    <col min="12029" max="12029" width="1.88671875" style="2" customWidth="1"/>
    <col min="12030" max="12030" width="13.33203125" style="2" customWidth="1"/>
    <col min="12031" max="12031" width="2.33203125" style="2" customWidth="1"/>
    <col min="12032" max="12032" width="2.109375" style="2" customWidth="1"/>
    <col min="12033" max="12033" width="16.77734375" style="2" customWidth="1"/>
    <col min="12034" max="12034" width="13.6640625" style="2" customWidth="1"/>
    <col min="12035" max="12044" width="8.6640625" style="2" customWidth="1"/>
    <col min="12045" max="12045" width="20.77734375" style="2" customWidth="1"/>
    <col min="12046" max="12274" width="10.21875" style="2"/>
    <col min="12275" max="12276" width="0" style="2" hidden="1" customWidth="1"/>
    <col min="12277" max="12277" width="7.6640625" style="2" customWidth="1"/>
    <col min="12278" max="12278" width="4.21875" style="2" customWidth="1"/>
    <col min="12279" max="12279" width="98" style="2" customWidth="1"/>
    <col min="12280" max="12280" width="16.109375" style="2" customWidth="1"/>
    <col min="12281" max="12281" width="1.88671875" style="2" customWidth="1"/>
    <col min="12282" max="12282" width="15.88671875" style="2" customWidth="1"/>
    <col min="12283" max="12283" width="1.88671875" style="2" customWidth="1"/>
    <col min="12284" max="12284" width="13.33203125" style="2" customWidth="1"/>
    <col min="12285" max="12285" width="1.88671875" style="2" customWidth="1"/>
    <col min="12286" max="12286" width="13.33203125" style="2" customWidth="1"/>
    <col min="12287" max="12287" width="2.33203125" style="2" customWidth="1"/>
    <col min="12288" max="12288" width="2.109375" style="2" customWidth="1"/>
    <col min="12289" max="12289" width="16.77734375" style="2" customWidth="1"/>
    <col min="12290" max="12290" width="13.6640625" style="2" customWidth="1"/>
    <col min="12291" max="12300" width="8.6640625" style="2" customWidth="1"/>
    <col min="12301" max="12301" width="20.77734375" style="2" customWidth="1"/>
    <col min="12302" max="12530" width="10.21875" style="2"/>
    <col min="12531" max="12532" width="0" style="2" hidden="1" customWidth="1"/>
    <col min="12533" max="12533" width="7.6640625" style="2" customWidth="1"/>
    <col min="12534" max="12534" width="4.21875" style="2" customWidth="1"/>
    <col min="12535" max="12535" width="98" style="2" customWidth="1"/>
    <col min="12536" max="12536" width="16.109375" style="2" customWidth="1"/>
    <col min="12537" max="12537" width="1.88671875" style="2" customWidth="1"/>
    <col min="12538" max="12538" width="15.88671875" style="2" customWidth="1"/>
    <col min="12539" max="12539" width="1.88671875" style="2" customWidth="1"/>
    <col min="12540" max="12540" width="13.33203125" style="2" customWidth="1"/>
    <col min="12541" max="12541" width="1.88671875" style="2" customWidth="1"/>
    <col min="12542" max="12542" width="13.33203125" style="2" customWidth="1"/>
    <col min="12543" max="12543" width="2.33203125" style="2" customWidth="1"/>
    <col min="12544" max="12544" width="2.109375" style="2" customWidth="1"/>
    <col min="12545" max="12545" width="16.77734375" style="2" customWidth="1"/>
    <col min="12546" max="12546" width="13.6640625" style="2" customWidth="1"/>
    <col min="12547" max="12556" width="8.6640625" style="2" customWidth="1"/>
    <col min="12557" max="12557" width="20.77734375" style="2" customWidth="1"/>
    <col min="12558" max="12786" width="10.21875" style="2"/>
    <col min="12787" max="12788" width="0" style="2" hidden="1" customWidth="1"/>
    <col min="12789" max="12789" width="7.6640625" style="2" customWidth="1"/>
    <col min="12790" max="12790" width="4.21875" style="2" customWidth="1"/>
    <col min="12791" max="12791" width="98" style="2" customWidth="1"/>
    <col min="12792" max="12792" width="16.109375" style="2" customWidth="1"/>
    <col min="12793" max="12793" width="1.88671875" style="2" customWidth="1"/>
    <col min="12794" max="12794" width="15.88671875" style="2" customWidth="1"/>
    <col min="12795" max="12795" width="1.88671875" style="2" customWidth="1"/>
    <col min="12796" max="12796" width="13.33203125" style="2" customWidth="1"/>
    <col min="12797" max="12797" width="1.88671875" style="2" customWidth="1"/>
    <col min="12798" max="12798" width="13.33203125" style="2" customWidth="1"/>
    <col min="12799" max="12799" width="2.33203125" style="2" customWidth="1"/>
    <col min="12800" max="12800" width="2.109375" style="2" customWidth="1"/>
    <col min="12801" max="12801" width="16.77734375" style="2" customWidth="1"/>
    <col min="12802" max="12802" width="13.6640625" style="2" customWidth="1"/>
    <col min="12803" max="12812" width="8.6640625" style="2" customWidth="1"/>
    <col min="12813" max="12813" width="20.77734375" style="2" customWidth="1"/>
    <col min="12814" max="13042" width="10.21875" style="2"/>
    <col min="13043" max="13044" width="0" style="2" hidden="1" customWidth="1"/>
    <col min="13045" max="13045" width="7.6640625" style="2" customWidth="1"/>
    <col min="13046" max="13046" width="4.21875" style="2" customWidth="1"/>
    <col min="13047" max="13047" width="98" style="2" customWidth="1"/>
    <col min="13048" max="13048" width="16.109375" style="2" customWidth="1"/>
    <col min="13049" max="13049" width="1.88671875" style="2" customWidth="1"/>
    <col min="13050" max="13050" width="15.88671875" style="2" customWidth="1"/>
    <col min="13051" max="13051" width="1.88671875" style="2" customWidth="1"/>
    <col min="13052" max="13052" width="13.33203125" style="2" customWidth="1"/>
    <col min="13053" max="13053" width="1.88671875" style="2" customWidth="1"/>
    <col min="13054" max="13054" width="13.33203125" style="2" customWidth="1"/>
    <col min="13055" max="13055" width="2.33203125" style="2" customWidth="1"/>
    <col min="13056" max="13056" width="2.109375" style="2" customWidth="1"/>
    <col min="13057" max="13057" width="16.77734375" style="2" customWidth="1"/>
    <col min="13058" max="13058" width="13.6640625" style="2" customWidth="1"/>
    <col min="13059" max="13068" width="8.6640625" style="2" customWidth="1"/>
    <col min="13069" max="13069" width="20.77734375" style="2" customWidth="1"/>
    <col min="13070" max="13298" width="10.21875" style="2"/>
    <col min="13299" max="13300" width="0" style="2" hidden="1" customWidth="1"/>
    <col min="13301" max="13301" width="7.6640625" style="2" customWidth="1"/>
    <col min="13302" max="13302" width="4.21875" style="2" customWidth="1"/>
    <col min="13303" max="13303" width="98" style="2" customWidth="1"/>
    <col min="13304" max="13304" width="16.109375" style="2" customWidth="1"/>
    <col min="13305" max="13305" width="1.88671875" style="2" customWidth="1"/>
    <col min="13306" max="13306" width="15.88671875" style="2" customWidth="1"/>
    <col min="13307" max="13307" width="1.88671875" style="2" customWidth="1"/>
    <col min="13308" max="13308" width="13.33203125" style="2" customWidth="1"/>
    <col min="13309" max="13309" width="1.88671875" style="2" customWidth="1"/>
    <col min="13310" max="13310" width="13.33203125" style="2" customWidth="1"/>
    <col min="13311" max="13311" width="2.33203125" style="2" customWidth="1"/>
    <col min="13312" max="13312" width="2.109375" style="2" customWidth="1"/>
    <col min="13313" max="13313" width="16.77734375" style="2" customWidth="1"/>
    <col min="13314" max="13314" width="13.6640625" style="2" customWidth="1"/>
    <col min="13315" max="13324" width="8.6640625" style="2" customWidth="1"/>
    <col min="13325" max="13325" width="20.77734375" style="2" customWidth="1"/>
    <col min="13326" max="13554" width="10.21875" style="2"/>
    <col min="13555" max="13556" width="0" style="2" hidden="1" customWidth="1"/>
    <col min="13557" max="13557" width="7.6640625" style="2" customWidth="1"/>
    <col min="13558" max="13558" width="4.21875" style="2" customWidth="1"/>
    <col min="13559" max="13559" width="98" style="2" customWidth="1"/>
    <col min="13560" max="13560" width="16.109375" style="2" customWidth="1"/>
    <col min="13561" max="13561" width="1.88671875" style="2" customWidth="1"/>
    <col min="13562" max="13562" width="15.88671875" style="2" customWidth="1"/>
    <col min="13563" max="13563" width="1.88671875" style="2" customWidth="1"/>
    <col min="13564" max="13564" width="13.33203125" style="2" customWidth="1"/>
    <col min="13565" max="13565" width="1.88671875" style="2" customWidth="1"/>
    <col min="13566" max="13566" width="13.33203125" style="2" customWidth="1"/>
    <col min="13567" max="13567" width="2.33203125" style="2" customWidth="1"/>
    <col min="13568" max="13568" width="2.109375" style="2" customWidth="1"/>
    <col min="13569" max="13569" width="16.77734375" style="2" customWidth="1"/>
    <col min="13570" max="13570" width="13.6640625" style="2" customWidth="1"/>
    <col min="13571" max="13580" width="8.6640625" style="2" customWidth="1"/>
    <col min="13581" max="13581" width="20.77734375" style="2" customWidth="1"/>
    <col min="13582" max="13810" width="10.21875" style="2"/>
    <col min="13811" max="13812" width="0" style="2" hidden="1" customWidth="1"/>
    <col min="13813" max="13813" width="7.6640625" style="2" customWidth="1"/>
    <col min="13814" max="13814" width="4.21875" style="2" customWidth="1"/>
    <col min="13815" max="13815" width="98" style="2" customWidth="1"/>
    <col min="13816" max="13816" width="16.109375" style="2" customWidth="1"/>
    <col min="13817" max="13817" width="1.88671875" style="2" customWidth="1"/>
    <col min="13818" max="13818" width="15.88671875" style="2" customWidth="1"/>
    <col min="13819" max="13819" width="1.88671875" style="2" customWidth="1"/>
    <col min="13820" max="13820" width="13.33203125" style="2" customWidth="1"/>
    <col min="13821" max="13821" width="1.88671875" style="2" customWidth="1"/>
    <col min="13822" max="13822" width="13.33203125" style="2" customWidth="1"/>
    <col min="13823" max="13823" width="2.33203125" style="2" customWidth="1"/>
    <col min="13824" max="13824" width="2.109375" style="2" customWidth="1"/>
    <col min="13825" max="13825" width="16.77734375" style="2" customWidth="1"/>
    <col min="13826" max="13826" width="13.6640625" style="2" customWidth="1"/>
    <col min="13827" max="13836" width="8.6640625" style="2" customWidth="1"/>
    <col min="13837" max="13837" width="20.77734375" style="2" customWidth="1"/>
    <col min="13838" max="14066" width="10.21875" style="2"/>
    <col min="14067" max="14068" width="0" style="2" hidden="1" customWidth="1"/>
    <col min="14069" max="14069" width="7.6640625" style="2" customWidth="1"/>
    <col min="14070" max="14070" width="4.21875" style="2" customWidth="1"/>
    <col min="14071" max="14071" width="98" style="2" customWidth="1"/>
    <col min="14072" max="14072" width="16.109375" style="2" customWidth="1"/>
    <col min="14073" max="14073" width="1.88671875" style="2" customWidth="1"/>
    <col min="14074" max="14074" width="15.88671875" style="2" customWidth="1"/>
    <col min="14075" max="14075" width="1.88671875" style="2" customWidth="1"/>
    <col min="14076" max="14076" width="13.33203125" style="2" customWidth="1"/>
    <col min="14077" max="14077" width="1.88671875" style="2" customWidth="1"/>
    <col min="14078" max="14078" width="13.33203125" style="2" customWidth="1"/>
    <col min="14079" max="14079" width="2.33203125" style="2" customWidth="1"/>
    <col min="14080" max="14080" width="2.109375" style="2" customWidth="1"/>
    <col min="14081" max="14081" width="16.77734375" style="2" customWidth="1"/>
    <col min="14082" max="14082" width="13.6640625" style="2" customWidth="1"/>
    <col min="14083" max="14092" width="8.6640625" style="2" customWidth="1"/>
    <col min="14093" max="14093" width="20.77734375" style="2" customWidth="1"/>
    <col min="14094" max="14322" width="10.21875" style="2"/>
    <col min="14323" max="14324" width="0" style="2" hidden="1" customWidth="1"/>
    <col min="14325" max="14325" width="7.6640625" style="2" customWidth="1"/>
    <col min="14326" max="14326" width="4.21875" style="2" customWidth="1"/>
    <col min="14327" max="14327" width="98" style="2" customWidth="1"/>
    <col min="14328" max="14328" width="16.109375" style="2" customWidth="1"/>
    <col min="14329" max="14329" width="1.88671875" style="2" customWidth="1"/>
    <col min="14330" max="14330" width="15.88671875" style="2" customWidth="1"/>
    <col min="14331" max="14331" width="1.88671875" style="2" customWidth="1"/>
    <col min="14332" max="14332" width="13.33203125" style="2" customWidth="1"/>
    <col min="14333" max="14333" width="1.88671875" style="2" customWidth="1"/>
    <col min="14334" max="14334" width="13.33203125" style="2" customWidth="1"/>
    <col min="14335" max="14335" width="2.33203125" style="2" customWidth="1"/>
    <col min="14336" max="14336" width="2.109375" style="2" customWidth="1"/>
    <col min="14337" max="14337" width="16.77734375" style="2" customWidth="1"/>
    <col min="14338" max="14338" width="13.6640625" style="2" customWidth="1"/>
    <col min="14339" max="14348" width="8.6640625" style="2" customWidth="1"/>
    <col min="14349" max="14349" width="20.77734375" style="2" customWidth="1"/>
    <col min="14350" max="14578" width="10.21875" style="2"/>
    <col min="14579" max="14580" width="0" style="2" hidden="1" customWidth="1"/>
    <col min="14581" max="14581" width="7.6640625" style="2" customWidth="1"/>
    <col min="14582" max="14582" width="4.21875" style="2" customWidth="1"/>
    <col min="14583" max="14583" width="98" style="2" customWidth="1"/>
    <col min="14584" max="14584" width="16.109375" style="2" customWidth="1"/>
    <col min="14585" max="14585" width="1.88671875" style="2" customWidth="1"/>
    <col min="14586" max="14586" width="15.88671875" style="2" customWidth="1"/>
    <col min="14587" max="14587" width="1.88671875" style="2" customWidth="1"/>
    <col min="14588" max="14588" width="13.33203125" style="2" customWidth="1"/>
    <col min="14589" max="14589" width="1.88671875" style="2" customWidth="1"/>
    <col min="14590" max="14590" width="13.33203125" style="2" customWidth="1"/>
    <col min="14591" max="14591" width="2.33203125" style="2" customWidth="1"/>
    <col min="14592" max="14592" width="2.109375" style="2" customWidth="1"/>
    <col min="14593" max="14593" width="16.77734375" style="2" customWidth="1"/>
    <col min="14594" max="14594" width="13.6640625" style="2" customWidth="1"/>
    <col min="14595" max="14604" width="8.6640625" style="2" customWidth="1"/>
    <col min="14605" max="14605" width="20.77734375" style="2" customWidth="1"/>
    <col min="14606" max="14834" width="10.21875" style="2"/>
    <col min="14835" max="14836" width="0" style="2" hidden="1" customWidth="1"/>
    <col min="14837" max="14837" width="7.6640625" style="2" customWidth="1"/>
    <col min="14838" max="14838" width="4.21875" style="2" customWidth="1"/>
    <col min="14839" max="14839" width="98" style="2" customWidth="1"/>
    <col min="14840" max="14840" width="16.109375" style="2" customWidth="1"/>
    <col min="14841" max="14841" width="1.88671875" style="2" customWidth="1"/>
    <col min="14842" max="14842" width="15.88671875" style="2" customWidth="1"/>
    <col min="14843" max="14843" width="1.88671875" style="2" customWidth="1"/>
    <col min="14844" max="14844" width="13.33203125" style="2" customWidth="1"/>
    <col min="14845" max="14845" width="1.88671875" style="2" customWidth="1"/>
    <col min="14846" max="14846" width="13.33203125" style="2" customWidth="1"/>
    <col min="14847" max="14847" width="2.33203125" style="2" customWidth="1"/>
    <col min="14848" max="14848" width="2.109375" style="2" customWidth="1"/>
    <col min="14849" max="14849" width="16.77734375" style="2" customWidth="1"/>
    <col min="14850" max="14850" width="13.6640625" style="2" customWidth="1"/>
    <col min="14851" max="14860" width="8.6640625" style="2" customWidth="1"/>
    <col min="14861" max="14861" width="20.77734375" style="2" customWidth="1"/>
    <col min="14862" max="15090" width="10.21875" style="2"/>
    <col min="15091" max="15092" width="0" style="2" hidden="1" customWidth="1"/>
    <col min="15093" max="15093" width="7.6640625" style="2" customWidth="1"/>
    <col min="15094" max="15094" width="4.21875" style="2" customWidth="1"/>
    <col min="15095" max="15095" width="98" style="2" customWidth="1"/>
    <col min="15096" max="15096" width="16.109375" style="2" customWidth="1"/>
    <col min="15097" max="15097" width="1.88671875" style="2" customWidth="1"/>
    <col min="15098" max="15098" width="15.88671875" style="2" customWidth="1"/>
    <col min="15099" max="15099" width="1.88671875" style="2" customWidth="1"/>
    <col min="15100" max="15100" width="13.33203125" style="2" customWidth="1"/>
    <col min="15101" max="15101" width="1.88671875" style="2" customWidth="1"/>
    <col min="15102" max="15102" width="13.33203125" style="2" customWidth="1"/>
    <col min="15103" max="15103" width="2.33203125" style="2" customWidth="1"/>
    <col min="15104" max="15104" width="2.109375" style="2" customWidth="1"/>
    <col min="15105" max="15105" width="16.77734375" style="2" customWidth="1"/>
    <col min="15106" max="15106" width="13.6640625" style="2" customWidth="1"/>
    <col min="15107" max="15116" width="8.6640625" style="2" customWidth="1"/>
    <col min="15117" max="15117" width="20.77734375" style="2" customWidth="1"/>
    <col min="15118" max="15346" width="10.21875" style="2"/>
    <col min="15347" max="15348" width="0" style="2" hidden="1" customWidth="1"/>
    <col min="15349" max="15349" width="7.6640625" style="2" customWidth="1"/>
    <col min="15350" max="15350" width="4.21875" style="2" customWidth="1"/>
    <col min="15351" max="15351" width="98" style="2" customWidth="1"/>
    <col min="15352" max="15352" width="16.109375" style="2" customWidth="1"/>
    <col min="15353" max="15353" width="1.88671875" style="2" customWidth="1"/>
    <col min="15354" max="15354" width="15.88671875" style="2" customWidth="1"/>
    <col min="15355" max="15355" width="1.88671875" style="2" customWidth="1"/>
    <col min="15356" max="15356" width="13.33203125" style="2" customWidth="1"/>
    <col min="15357" max="15357" width="1.88671875" style="2" customWidth="1"/>
    <col min="15358" max="15358" width="13.33203125" style="2" customWidth="1"/>
    <col min="15359" max="15359" width="2.33203125" style="2" customWidth="1"/>
    <col min="15360" max="15360" width="2.109375" style="2" customWidth="1"/>
    <col min="15361" max="15361" width="16.77734375" style="2" customWidth="1"/>
    <col min="15362" max="15362" width="13.6640625" style="2" customWidth="1"/>
    <col min="15363" max="15372" width="8.6640625" style="2" customWidth="1"/>
    <col min="15373" max="15373" width="20.77734375" style="2" customWidth="1"/>
    <col min="15374" max="15602" width="10.21875" style="2"/>
    <col min="15603" max="15604" width="0" style="2" hidden="1" customWidth="1"/>
    <col min="15605" max="15605" width="7.6640625" style="2" customWidth="1"/>
    <col min="15606" max="15606" width="4.21875" style="2" customWidth="1"/>
    <col min="15607" max="15607" width="98" style="2" customWidth="1"/>
    <col min="15608" max="15608" width="16.109375" style="2" customWidth="1"/>
    <col min="15609" max="15609" width="1.88671875" style="2" customWidth="1"/>
    <col min="15610" max="15610" width="15.88671875" style="2" customWidth="1"/>
    <col min="15611" max="15611" width="1.88671875" style="2" customWidth="1"/>
    <col min="15612" max="15612" width="13.33203125" style="2" customWidth="1"/>
    <col min="15613" max="15613" width="1.88671875" style="2" customWidth="1"/>
    <col min="15614" max="15614" width="13.33203125" style="2" customWidth="1"/>
    <col min="15615" max="15615" width="2.33203125" style="2" customWidth="1"/>
    <col min="15616" max="15616" width="2.109375" style="2" customWidth="1"/>
    <col min="15617" max="15617" width="16.77734375" style="2" customWidth="1"/>
    <col min="15618" max="15618" width="13.6640625" style="2" customWidth="1"/>
    <col min="15619" max="15628" width="8.6640625" style="2" customWidth="1"/>
    <col min="15629" max="15629" width="20.77734375" style="2" customWidth="1"/>
    <col min="15630" max="15858" width="10.21875" style="2"/>
    <col min="15859" max="15860" width="0" style="2" hidden="1" customWidth="1"/>
    <col min="15861" max="15861" width="7.6640625" style="2" customWidth="1"/>
    <col min="15862" max="15862" width="4.21875" style="2" customWidth="1"/>
    <col min="15863" max="15863" width="98" style="2" customWidth="1"/>
    <col min="15864" max="15864" width="16.109375" style="2" customWidth="1"/>
    <col min="15865" max="15865" width="1.88671875" style="2" customWidth="1"/>
    <col min="15866" max="15866" width="15.88671875" style="2" customWidth="1"/>
    <col min="15867" max="15867" width="1.88671875" style="2" customWidth="1"/>
    <col min="15868" max="15868" width="13.33203125" style="2" customWidth="1"/>
    <col min="15869" max="15869" width="1.88671875" style="2" customWidth="1"/>
    <col min="15870" max="15870" width="13.33203125" style="2" customWidth="1"/>
    <col min="15871" max="15871" width="2.33203125" style="2" customWidth="1"/>
    <col min="15872" max="15872" width="2.109375" style="2" customWidth="1"/>
    <col min="15873" max="15873" width="16.77734375" style="2" customWidth="1"/>
    <col min="15874" max="15874" width="13.6640625" style="2" customWidth="1"/>
    <col min="15875" max="15884" width="8.6640625" style="2" customWidth="1"/>
    <col min="15885" max="15885" width="20.77734375" style="2" customWidth="1"/>
    <col min="15886" max="16114" width="10.21875" style="2"/>
    <col min="16115" max="16116" width="0" style="2" hidden="1" customWidth="1"/>
    <col min="16117" max="16117" width="7.6640625" style="2" customWidth="1"/>
    <col min="16118" max="16118" width="4.21875" style="2" customWidth="1"/>
    <col min="16119" max="16119" width="98" style="2" customWidth="1"/>
    <col min="16120" max="16120" width="16.109375" style="2" customWidth="1"/>
    <col min="16121" max="16121" width="1.88671875" style="2" customWidth="1"/>
    <col min="16122" max="16122" width="15.88671875" style="2" customWidth="1"/>
    <col min="16123" max="16123" width="1.88671875" style="2" customWidth="1"/>
    <col min="16124" max="16124" width="13.33203125" style="2" customWidth="1"/>
    <col min="16125" max="16125" width="1.88671875" style="2" customWidth="1"/>
    <col min="16126" max="16126" width="13.33203125" style="2" customWidth="1"/>
    <col min="16127" max="16127" width="2.33203125" style="2" customWidth="1"/>
    <col min="16128" max="16128" width="2.109375" style="2" customWidth="1"/>
    <col min="16129" max="16129" width="16.77734375" style="2" customWidth="1"/>
    <col min="16130" max="16130" width="13.6640625" style="2" customWidth="1"/>
    <col min="16131" max="16140" width="8.6640625" style="2" customWidth="1"/>
    <col min="16141" max="16141" width="20.77734375" style="2" customWidth="1"/>
    <col min="16142" max="16384" width="10.21875" style="2"/>
  </cols>
  <sheetData>
    <row r="1" spans="1:19" ht="30">
      <c r="A1" s="2" t="s">
        <v>0</v>
      </c>
      <c r="B1" s="4"/>
      <c r="C1" s="298" t="s">
        <v>1</v>
      </c>
      <c r="D1" s="298"/>
      <c r="E1" s="298"/>
      <c r="F1" s="19"/>
      <c r="G1" s="19"/>
      <c r="H1" s="19"/>
      <c r="I1" s="19"/>
      <c r="J1" s="19"/>
      <c r="K1" s="19"/>
    </row>
    <row r="2" spans="1:19" ht="23.25">
      <c r="A2" s="2" t="s">
        <v>2</v>
      </c>
      <c r="B2" s="4">
        <v>38353</v>
      </c>
      <c r="C2" s="1142" t="s">
        <v>3</v>
      </c>
      <c r="D2" s="1142"/>
      <c r="E2" s="1142"/>
      <c r="F2" s="19"/>
      <c r="G2" s="19"/>
      <c r="H2" s="19"/>
      <c r="I2" s="19"/>
      <c r="J2" s="19"/>
      <c r="K2" s="19"/>
    </row>
    <row r="3" spans="1:19" ht="23.25">
      <c r="A3" s="2" t="s">
        <v>4</v>
      </c>
      <c r="B3" s="4">
        <v>38717</v>
      </c>
      <c r="C3" s="20" t="s">
        <v>5</v>
      </c>
      <c r="D3" s="25"/>
      <c r="E3" s="25"/>
      <c r="F3" s="19"/>
      <c r="G3" s="25"/>
      <c r="H3" s="19"/>
      <c r="I3" s="19"/>
      <c r="J3" s="19"/>
      <c r="K3" s="19"/>
    </row>
    <row r="4" spans="1:19" ht="29.25" customHeight="1">
      <c r="C4" s="29"/>
      <c r="D4" s="21"/>
      <c r="E4" s="16"/>
      <c r="F4" s="16"/>
      <c r="G4" s="16"/>
      <c r="H4" s="16"/>
      <c r="I4" s="16"/>
      <c r="J4" s="16"/>
      <c r="K4" s="16"/>
    </row>
    <row r="5" spans="1:19" s="6" customFormat="1" ht="49.5" customHeight="1" thickBot="1">
      <c r="C5" s="1143"/>
      <c r="D5" s="1143"/>
      <c r="E5" s="1143"/>
      <c r="F5" s="72"/>
      <c r="G5" s="71" t="s">
        <v>6</v>
      </c>
      <c r="H5" s="72"/>
      <c r="I5" s="71" t="s">
        <v>7</v>
      </c>
      <c r="J5" s="72"/>
      <c r="K5" s="71" t="s">
        <v>8</v>
      </c>
      <c r="L5" s="101"/>
      <c r="M5" s="101"/>
      <c r="Q5" s="277" t="s">
        <v>9</v>
      </c>
      <c r="R5" s="277" t="str">
        <f>K6</f>
        <v>3/23 - 2/24</v>
      </c>
    </row>
    <row r="6" spans="1:19" ht="20.25">
      <c r="C6" s="70"/>
      <c r="D6" s="69" t="s">
        <v>17</v>
      </c>
      <c r="E6" s="70"/>
      <c r="F6" s="74"/>
      <c r="G6" s="73" t="s">
        <v>18</v>
      </c>
      <c r="H6" s="74"/>
      <c r="I6" s="276" t="str">
        <f>G6</f>
        <v>3/23 - 2/24</v>
      </c>
      <c r="J6" s="74"/>
      <c r="K6" s="73" t="str">
        <f>G6</f>
        <v>3/23 - 2/24</v>
      </c>
      <c r="L6" s="55"/>
      <c r="M6" s="55"/>
      <c r="P6" s="32" t="s">
        <v>19</v>
      </c>
      <c r="Q6" s="64">
        <f>E8</f>
        <v>125000</v>
      </c>
      <c r="R6" s="388" t="e">
        <f>MAX(0,'2023.06 to 2024.05 LC'!$F11-$Q$6)</f>
        <v>#VALUE!</v>
      </c>
    </row>
    <row r="7" spans="1:19" s="7" customFormat="1" ht="18">
      <c r="A7" s="7" t="s">
        <v>20</v>
      </c>
      <c r="B7" s="7" t="s">
        <v>20</v>
      </c>
      <c r="C7" s="26">
        <v>1</v>
      </c>
      <c r="D7" s="75" t="s">
        <v>21</v>
      </c>
      <c r="E7" s="75"/>
      <c r="F7" s="92"/>
      <c r="G7" s="301">
        <f ca="1">(SUM(OFFSET('Medical &amp; Rx Total'!$D$7,COUNT('Medical &amp; Rx Total'!$D$8:$D$30),0,-12)))+(SUM(OFFSET('Medical &amp; Rx Total'!$H$7,COUNT('Medical &amp; Rx Total'!$H$8:$H$30),0,-12)))</f>
        <v>17995045.890000001</v>
      </c>
      <c r="H7" s="93"/>
      <c r="I7" s="91">
        <f ca="1">(SUM(OFFSET('Medical &amp; Rx Total'!$G$7,COUNT('Medical &amp; Rx Total'!$G$8:$G$30),0,-12)))</f>
        <v>3858201.0899999994</v>
      </c>
      <c r="J7" s="93"/>
      <c r="K7" s="91">
        <f ca="1">+G7+I7</f>
        <v>21853246.98</v>
      </c>
      <c r="L7" s="102"/>
      <c r="M7" s="102"/>
      <c r="P7" s="35" t="s">
        <v>22</v>
      </c>
      <c r="Q7" s="64">
        <f>E9</f>
        <v>70000</v>
      </c>
      <c r="R7" s="389" t="e">
        <f>MAX(0,'2023.06 to 2024.05 LC'!$F12-$Q$6)</f>
        <v>#VALUE!</v>
      </c>
    </row>
    <row r="8" spans="1:19" ht="18">
      <c r="C8" s="26">
        <f>+C7+1</f>
        <v>2</v>
      </c>
      <c r="D8" s="77" t="s">
        <v>23</v>
      </c>
      <c r="E8" s="462">
        <v>125000</v>
      </c>
      <c r="F8" s="95"/>
      <c r="G8" s="95" t="e">
        <f>-($R$226)</f>
        <v>#VALUE!</v>
      </c>
      <c r="H8" s="95"/>
      <c r="I8" s="95">
        <v>0</v>
      </c>
      <c r="J8" s="95"/>
      <c r="K8" s="95" t="e">
        <f>+I8+G8</f>
        <v>#VALUE!</v>
      </c>
      <c r="L8" s="55"/>
      <c r="M8" s="55"/>
      <c r="R8" s="389" t="e">
        <f>MAX(0,'2023.06 to 2024.05 LC'!$F13-$Q$6)</f>
        <v>#VALUE!</v>
      </c>
    </row>
    <row r="9" spans="1:19" ht="18">
      <c r="C9" s="26">
        <f>+C8+1</f>
        <v>3</v>
      </c>
      <c r="D9" s="15" t="s">
        <v>24</v>
      </c>
      <c r="E9" s="463">
        <v>70000</v>
      </c>
      <c r="F9" s="92"/>
      <c r="G9" s="91" t="e">
        <f ca="1">+G7+G8</f>
        <v>#VALUE!</v>
      </c>
      <c r="H9" s="93"/>
      <c r="I9" s="91">
        <f ca="1">+I8+I7</f>
        <v>3858201.0899999994</v>
      </c>
      <c r="J9" s="93"/>
      <c r="K9" s="91" t="e">
        <f ca="1">+K8+K7</f>
        <v>#VALUE!</v>
      </c>
      <c r="L9" s="55"/>
      <c r="M9" s="55"/>
      <c r="R9" s="389" t="e">
        <f>MAX(0,'2023.06 to 2024.05 LC'!$F14-$Q$6)</f>
        <v>#VALUE!</v>
      </c>
    </row>
    <row r="10" spans="1:19" ht="18">
      <c r="C10" s="26">
        <f>+C9+1</f>
        <v>4</v>
      </c>
      <c r="D10" s="76" t="s">
        <v>26</v>
      </c>
      <c r="E10" s="14"/>
      <c r="F10" s="95"/>
      <c r="G10" s="95">
        <f ca="1">(SUM(OFFSET('Medical &amp; Rx Total'!$B$7,COUNT('Medical &amp; Rx Total'!$B$8:$B$30),0,-13)))-(SUM(OFFSET('Medical &amp; Rx Total'!$B$7,COUNT('Medical &amp; Rx Total'!$B$8:$B$30),0,-1)))</f>
        <v>6948</v>
      </c>
      <c r="H10" s="96"/>
      <c r="I10" s="95">
        <f ca="1">+G10</f>
        <v>6948</v>
      </c>
      <c r="J10" s="95"/>
      <c r="K10" s="95">
        <f ca="1">+G10</f>
        <v>6948</v>
      </c>
      <c r="L10" s="55"/>
      <c r="M10" s="55"/>
      <c r="Q10" s="102"/>
      <c r="R10" s="389" t="e">
        <f>MAX(0,'2023.06 to 2024.05 LC'!$F15-$Q$6)</f>
        <v>#VALUE!</v>
      </c>
    </row>
    <row r="11" spans="1:19" ht="18">
      <c r="C11" s="26">
        <f>+C10+1</f>
        <v>5</v>
      </c>
      <c r="D11" s="67" t="s">
        <v>27</v>
      </c>
      <c r="E11" s="14"/>
      <c r="F11" s="98"/>
      <c r="G11" s="97" t="e">
        <f ca="1">+G9/G10</f>
        <v>#VALUE!</v>
      </c>
      <c r="H11" s="98"/>
      <c r="I11" s="97">
        <f ca="1">+I9/I10</f>
        <v>555.29664507772009</v>
      </c>
      <c r="J11" s="98"/>
      <c r="K11" s="97" t="e">
        <f ca="1">+K9/K10</f>
        <v>#VALUE!</v>
      </c>
      <c r="L11" s="55"/>
      <c r="M11" s="55"/>
      <c r="R11" s="389" t="e">
        <f>MAX(0,'2023.06 to 2024.05 LC'!$F16-$Q$6)</f>
        <v>#VALUE!</v>
      </c>
    </row>
    <row r="12" spans="1:19" ht="9" customHeight="1">
      <c r="C12" s="26" t="s">
        <v>20</v>
      </c>
      <c r="D12" s="16"/>
      <c r="E12" s="16"/>
      <c r="F12" s="92"/>
      <c r="G12" s="55"/>
      <c r="H12" s="55"/>
      <c r="I12" s="55"/>
      <c r="J12" s="55"/>
      <c r="K12" s="55"/>
      <c r="L12" s="55"/>
      <c r="M12" s="55"/>
      <c r="R12" s="389" t="e">
        <f>MAX(0,'2023.06 to 2024.05 LC'!$F17-$Q$6)</f>
        <v>#VALUE!</v>
      </c>
      <c r="S12" s="2" t="s">
        <v>20</v>
      </c>
    </row>
    <row r="13" spans="1:19" ht="20.25">
      <c r="C13" s="68"/>
      <c r="D13" s="69" t="s">
        <v>28</v>
      </c>
      <c r="E13" s="402"/>
      <c r="F13" s="90"/>
      <c r="G13" s="100"/>
      <c r="H13" s="90"/>
      <c r="I13" s="100"/>
      <c r="J13" s="90"/>
      <c r="K13" s="100"/>
      <c r="L13" s="55"/>
      <c r="M13" s="55"/>
      <c r="Q13" s="102"/>
      <c r="R13" s="389" t="e">
        <f>MAX(0,'2023.06 to 2024.05 LC'!$F18-$Q$6)</f>
        <v>#VALUE!</v>
      </c>
    </row>
    <row r="14" spans="1:19" ht="18">
      <c r="C14" s="26">
        <f>C11+1</f>
        <v>6</v>
      </c>
      <c r="D14" s="15" t="s">
        <v>29</v>
      </c>
      <c r="E14" s="14"/>
      <c r="F14" s="92"/>
      <c r="G14" s="91">
        <v>150000</v>
      </c>
      <c r="H14" s="91"/>
      <c r="I14" s="91">
        <v>0</v>
      </c>
      <c r="J14" s="93"/>
      <c r="K14" s="91">
        <f>+I14+G14</f>
        <v>150000</v>
      </c>
      <c r="M14" s="465" t="s">
        <v>30</v>
      </c>
      <c r="R14" s="389" t="e">
        <f>MAX(0,'2023.06 to 2024.05 LC'!$F19-$Q$6)</f>
        <v>#VALUE!</v>
      </c>
    </row>
    <row r="15" spans="1:19" ht="18">
      <c r="C15" s="26">
        <f>+C14+1</f>
        <v>7</v>
      </c>
      <c r="D15" s="1144" t="s">
        <v>31</v>
      </c>
      <c r="E15" s="1144"/>
      <c r="F15" s="92"/>
      <c r="G15" s="92">
        <v>0</v>
      </c>
      <c r="H15" s="101"/>
      <c r="I15" s="92">
        <v>0</v>
      </c>
      <c r="J15" s="92"/>
      <c r="K15" s="92">
        <f>+I15+G15</f>
        <v>0</v>
      </c>
      <c r="L15" s="55"/>
      <c r="M15" s="55"/>
      <c r="R15" s="389" t="e">
        <f>MAX(0,'2023.06 to 2024.05 LC'!$F20-$Q$6)</f>
        <v>#VALUE!</v>
      </c>
    </row>
    <row r="16" spans="1:19" ht="18">
      <c r="C16" s="26">
        <f>+C15+1</f>
        <v>8</v>
      </c>
      <c r="D16" s="14" t="s">
        <v>32</v>
      </c>
      <c r="E16" s="14"/>
      <c r="F16" s="95"/>
      <c r="G16" s="95">
        <f>-($R$227*$Q$6)+(-$Q$7)</f>
        <v>-70000</v>
      </c>
      <c r="H16" s="302"/>
      <c r="I16" s="95">
        <v>0</v>
      </c>
      <c r="J16" s="95"/>
      <c r="K16" s="95">
        <f>+I16+G16</f>
        <v>-70000</v>
      </c>
      <c r="L16" s="55"/>
      <c r="M16" s="55"/>
      <c r="Q16" s="102"/>
      <c r="R16" s="389" t="e">
        <f>MAX(0,'2023.06 to 2024.05 LC'!$F21-$Q$6)</f>
        <v>#VALUE!</v>
      </c>
    </row>
    <row r="17" spans="1:18" ht="18">
      <c r="C17" s="26">
        <f>+C16+1</f>
        <v>9</v>
      </c>
      <c r="D17" s="76" t="s">
        <v>33</v>
      </c>
      <c r="E17" s="14"/>
      <c r="F17" s="92"/>
      <c r="G17" s="91" t="e">
        <f ca="1">+G16+G15+G14+G9</f>
        <v>#VALUE!</v>
      </c>
      <c r="H17" s="92"/>
      <c r="I17" s="91">
        <f ca="1">+I16+I15+I14+I9</f>
        <v>3858201.0899999994</v>
      </c>
      <c r="J17" s="92"/>
      <c r="K17" s="91" t="e">
        <f ca="1">+I17+G17</f>
        <v>#VALUE!</v>
      </c>
      <c r="L17" s="55"/>
      <c r="M17" s="55"/>
      <c r="R17" s="389" t="e">
        <f>MAX(0,'2023.06 to 2024.05 LC'!$F22-$Q$6)</f>
        <v>#VALUE!</v>
      </c>
    </row>
    <row r="18" spans="1:18" ht="9" customHeight="1">
      <c r="C18" s="26"/>
      <c r="D18" s="76"/>
      <c r="E18" s="14"/>
      <c r="F18" s="92"/>
      <c r="G18" s="91"/>
      <c r="H18" s="92"/>
      <c r="I18" s="91"/>
      <c r="J18" s="92"/>
      <c r="K18" s="91"/>
      <c r="L18" s="55"/>
      <c r="M18" s="55"/>
      <c r="R18" s="389" t="e">
        <f>MAX(0,'2023.06 to 2024.05 LC'!$F23-$Q$6)</f>
        <v>#VALUE!</v>
      </c>
    </row>
    <row r="19" spans="1:18" ht="18">
      <c r="C19" s="26">
        <f>C17+1</f>
        <v>10</v>
      </c>
      <c r="D19" s="14" t="s">
        <v>34</v>
      </c>
      <c r="E19" s="14"/>
      <c r="F19" s="101"/>
      <c r="G19" s="103">
        <v>0.08</v>
      </c>
      <c r="H19" s="101"/>
      <c r="I19" s="103">
        <v>8.5000000000000006E-2</v>
      </c>
      <c r="J19" s="101"/>
      <c r="K19" s="103" t="e">
        <f ca="1">+((G19*G17)+(I19*I17))/K17</f>
        <v>#VALUE!</v>
      </c>
      <c r="L19" s="55"/>
      <c r="M19" s="55"/>
      <c r="Q19" s="102"/>
      <c r="R19" s="389" t="e">
        <f>MAX(0,'2023.06 to 2024.05 LC'!$F24-$Q$6)</f>
        <v>#VALUE!</v>
      </c>
    </row>
    <row r="20" spans="1:18" ht="18">
      <c r="B20" s="2">
        <v>10</v>
      </c>
      <c r="C20" s="26">
        <f>C19+1</f>
        <v>11</v>
      </c>
      <c r="D20" s="77" t="s">
        <v>35</v>
      </c>
      <c r="F20" s="303"/>
      <c r="G20" s="304">
        <f>(12+(12-COUNT('Medical &amp; Rx Total'!$B$19:$B$30)))+1</f>
        <v>20</v>
      </c>
      <c r="H20" s="305"/>
      <c r="I20" s="304">
        <f>+G20</f>
        <v>20</v>
      </c>
      <c r="J20" s="305"/>
      <c r="K20" s="304">
        <f>+G20</f>
        <v>20</v>
      </c>
      <c r="M20" s="55"/>
      <c r="R20" s="389" t="e">
        <f>MAX(0,'2023.06 to 2024.05 LC'!$F25-$Q$6)</f>
        <v>#VALUE!</v>
      </c>
    </row>
    <row r="21" spans="1:18" s="8" customFormat="1" ht="18">
      <c r="C21" s="26">
        <f>C20+1</f>
        <v>12</v>
      </c>
      <c r="D21" s="78" t="s">
        <v>36</v>
      </c>
      <c r="E21" s="22"/>
      <c r="F21" s="91"/>
      <c r="G21" s="104">
        <f>+((1+G19)^(G20/12))-1</f>
        <v>0.13685809661716242</v>
      </c>
      <c r="H21" s="91"/>
      <c r="I21" s="104">
        <f>+((1+I19)^(I20/12))-1</f>
        <v>0.14564367999814354</v>
      </c>
      <c r="J21" s="91"/>
      <c r="K21" s="104" t="e">
        <f ca="1">+((1+K19)^(K20/12))-1</f>
        <v>#VALUE!</v>
      </c>
      <c r="L21" s="105"/>
      <c r="M21" s="105"/>
      <c r="Q21" s="55"/>
      <c r="R21" s="389" t="e">
        <f>MAX(0,'2023.06 to 2024.05 LC'!$F26-$Q$6)</f>
        <v>#VALUE!</v>
      </c>
    </row>
    <row r="22" spans="1:18" s="8" customFormat="1" ht="18">
      <c r="C22" s="26">
        <f>C21+1</f>
        <v>13</v>
      </c>
      <c r="D22" s="78" t="s">
        <v>37</v>
      </c>
      <c r="E22" s="22"/>
      <c r="F22" s="91"/>
      <c r="G22" s="91" t="e">
        <f ca="1">+(1+G21)*G17</f>
        <v>#VALUE!</v>
      </c>
      <c r="H22" s="91"/>
      <c r="I22" s="91">
        <f ca="1">+(1+I21)*I17</f>
        <v>4420123.6949204477</v>
      </c>
      <c r="J22" s="91"/>
      <c r="K22" s="91" t="e">
        <f ca="1">+I22+G22</f>
        <v>#VALUE!</v>
      </c>
      <c r="L22" s="105"/>
      <c r="M22" s="105"/>
      <c r="Q22" s="102"/>
      <c r="R22" s="389" t="e">
        <f>MAX(0,'2023.06 to 2024.05 LC'!$F27-$Q$6)</f>
        <v>#VALUE!</v>
      </c>
    </row>
    <row r="23" spans="1:18" ht="18">
      <c r="C23" s="26">
        <f>+C22+1</f>
        <v>14</v>
      </c>
      <c r="D23" s="14" t="s">
        <v>38</v>
      </c>
      <c r="E23" s="14"/>
      <c r="F23" s="96"/>
      <c r="G23" s="95">
        <f>-G16</f>
        <v>70000</v>
      </c>
      <c r="H23" s="96"/>
      <c r="I23" s="95">
        <v>0</v>
      </c>
      <c r="J23" s="96"/>
      <c r="K23" s="95">
        <f>+I23+G23</f>
        <v>70000</v>
      </c>
      <c r="L23" s="55"/>
      <c r="M23" s="55"/>
      <c r="R23" s="389" t="e">
        <f>MAX(0,'2023.06 to 2024.05 LC'!$F28-$Q$6)</f>
        <v>#VALUE!</v>
      </c>
    </row>
    <row r="24" spans="1:18" ht="18">
      <c r="C24" s="26">
        <f>C23+1</f>
        <v>15</v>
      </c>
      <c r="D24" s="78" t="s">
        <v>39</v>
      </c>
      <c r="E24" s="23"/>
      <c r="F24" s="92"/>
      <c r="G24" s="91" t="e">
        <f ca="1">+G23+G22</f>
        <v>#VALUE!</v>
      </c>
      <c r="H24" s="92"/>
      <c r="I24" s="91">
        <f ca="1">+I23+I22</f>
        <v>4420123.6949204477</v>
      </c>
      <c r="J24" s="92"/>
      <c r="K24" s="91" t="e">
        <f ca="1">+I24+G24+M24</f>
        <v>#VALUE!</v>
      </c>
      <c r="L24" s="55"/>
      <c r="M24" s="56"/>
      <c r="R24" s="389" t="e">
        <f>MAX(0,'2023.06 to 2024.05 LC'!$F29-$Q$6)</f>
        <v>#VALUE!</v>
      </c>
    </row>
    <row r="25" spans="1:18" ht="18">
      <c r="C25" s="87">
        <f>+C24+1</f>
        <v>16</v>
      </c>
      <c r="D25" s="88" t="s">
        <v>40</v>
      </c>
      <c r="E25" s="6"/>
      <c r="F25" s="98"/>
      <c r="G25" s="97" t="e">
        <f ca="1">+G24/G10</f>
        <v>#VALUE!</v>
      </c>
      <c r="H25" s="98"/>
      <c r="I25" s="97">
        <f ca="1">+I24/I10</f>
        <v>636.17209195746227</v>
      </c>
      <c r="J25" s="98"/>
      <c r="K25" s="97" t="e">
        <f ca="1">+K24/K10</f>
        <v>#VALUE!</v>
      </c>
      <c r="L25" s="55"/>
      <c r="M25" s="55"/>
      <c r="Q25" s="102"/>
      <c r="R25" s="389" t="e">
        <f>MAX(0,'2023.06 to 2024.05 LC'!$F30-$Q$6)</f>
        <v>#VALUE!</v>
      </c>
    </row>
    <row r="26" spans="1:18" ht="18">
      <c r="C26" s="87">
        <f>+C25+1</f>
        <v>17</v>
      </c>
      <c r="D26" s="89" t="s">
        <v>41</v>
      </c>
      <c r="E26" s="6"/>
      <c r="F26" s="103"/>
      <c r="G26" s="104"/>
      <c r="H26" s="103"/>
      <c r="I26" s="104" t="s">
        <v>20</v>
      </c>
      <c r="J26" s="103"/>
      <c r="K26" s="103">
        <v>1</v>
      </c>
      <c r="L26" s="55"/>
      <c r="M26" s="55"/>
      <c r="R26" s="389" t="e">
        <f>MAX(0,'2023.06 to 2024.05 LC'!$F31-$Q$6)</f>
        <v>#VALUE!</v>
      </c>
    </row>
    <row r="27" spans="1:18" ht="16.5" customHeight="1">
      <c r="C27" s="87">
        <f>+C26+1</f>
        <v>18</v>
      </c>
      <c r="D27" s="89" t="s">
        <v>42</v>
      </c>
      <c r="E27" s="6"/>
      <c r="F27" s="92"/>
      <c r="G27" s="91" t="s">
        <v>20</v>
      </c>
      <c r="H27" s="92"/>
      <c r="I27" s="91"/>
      <c r="J27" s="92"/>
      <c r="K27" s="97" t="e">
        <f ca="1">+(K26*K25)</f>
        <v>#VALUE!</v>
      </c>
      <c r="L27" s="55"/>
      <c r="M27" s="55"/>
      <c r="R27" s="389" t="e">
        <f>MAX(0,'2023.06 to 2024.05 LC'!$F32-$Q$6)</f>
        <v>#VALUE!</v>
      </c>
    </row>
    <row r="28" spans="1:18" s="12" customFormat="1" ht="9" customHeight="1">
      <c r="C28" s="79"/>
      <c r="D28" s="80"/>
      <c r="E28" s="81"/>
      <c r="F28" s="94"/>
      <c r="G28" s="93"/>
      <c r="H28" s="94"/>
      <c r="I28" s="93"/>
      <c r="J28" s="94"/>
      <c r="K28" s="93"/>
      <c r="L28" s="99"/>
      <c r="M28" s="99"/>
      <c r="Q28" s="102"/>
      <c r="R28" s="389" t="e">
        <f>MAX(0,'2023.06 to 2024.05 LC'!$F33-$Q$6)</f>
        <v>#VALUE!</v>
      </c>
    </row>
    <row r="29" spans="1:18" ht="20.25">
      <c r="A29" s="11" t="e">
        <f>#REF!</f>
        <v>#REF!</v>
      </c>
      <c r="B29" s="11"/>
      <c r="C29" s="68"/>
      <c r="D29" s="69" t="s">
        <v>43</v>
      </c>
      <c r="E29" s="70"/>
      <c r="F29" s="90"/>
      <c r="G29" s="90"/>
      <c r="H29" s="90"/>
      <c r="I29" s="90"/>
      <c r="J29" s="90"/>
      <c r="K29" s="73"/>
      <c r="L29" s="55"/>
      <c r="M29" s="55"/>
      <c r="R29" s="389" t="e">
        <f>MAX(0,'2023.06 to 2024.05 LC'!$F34-$Q$6)</f>
        <v>#VALUE!</v>
      </c>
    </row>
    <row r="30" spans="1:18" s="8" customFormat="1" ht="18">
      <c r="A30" s="11" t="e">
        <f>#REF!</f>
        <v>#REF!</v>
      </c>
      <c r="B30" s="11"/>
      <c r="C30" s="26">
        <f>+C27+1</f>
        <v>19</v>
      </c>
      <c r="D30" s="13" t="s">
        <v>44</v>
      </c>
      <c r="E30" s="22"/>
      <c r="F30" s="59"/>
      <c r="G30" s="59">
        <f>34.39</f>
        <v>34.39</v>
      </c>
      <c r="H30" s="106"/>
      <c r="I30" s="59">
        <f>5.19*1.05</f>
        <v>5.4495000000000005</v>
      </c>
      <c r="J30" s="59"/>
      <c r="K30" s="59">
        <f t="shared" ref="K30:K35" si="0">SUM(G30:I30)</f>
        <v>39.839500000000001</v>
      </c>
      <c r="L30" s="105"/>
      <c r="M30" s="105"/>
      <c r="Q30" s="55"/>
      <c r="R30" s="389" t="e">
        <f>MAX(0,'2023.06 to 2024.05 LC'!$F35-$Q$6)</f>
        <v>#VALUE!</v>
      </c>
    </row>
    <row r="31" spans="1:18" s="8" customFormat="1" ht="18">
      <c r="A31" s="11"/>
      <c r="B31" s="11"/>
      <c r="C31" s="26">
        <f>+C30+1</f>
        <v>20</v>
      </c>
      <c r="D31" s="13" t="s">
        <v>45</v>
      </c>
      <c r="E31" s="22"/>
      <c r="F31" s="59"/>
      <c r="G31" s="60">
        <v>10</v>
      </c>
      <c r="H31" s="309"/>
      <c r="I31" s="60" t="s">
        <v>46</v>
      </c>
      <c r="J31" s="60"/>
      <c r="K31" s="60">
        <f t="shared" si="0"/>
        <v>10</v>
      </c>
      <c r="L31" s="105"/>
      <c r="M31" s="105"/>
      <c r="Q31" s="55"/>
      <c r="R31" s="389" t="e">
        <f>MAX(0,'2023.06 to 2024.05 LC'!$F36-$Q$6)</f>
        <v>#VALUE!</v>
      </c>
    </row>
    <row r="32" spans="1:18" s="8" customFormat="1" ht="18">
      <c r="A32" s="11"/>
      <c r="B32" s="11"/>
      <c r="C32" s="26">
        <f>+C31+1</f>
        <v>21</v>
      </c>
      <c r="D32" s="13" t="s">
        <v>47</v>
      </c>
      <c r="E32" s="22"/>
      <c r="F32" s="59"/>
      <c r="G32" s="60">
        <f>3.75+0.45+1.35+1</f>
        <v>6.5500000000000007</v>
      </c>
      <c r="H32" s="309"/>
      <c r="I32" s="60" t="s">
        <v>46</v>
      </c>
      <c r="J32" s="60"/>
      <c r="K32" s="60">
        <f t="shared" si="0"/>
        <v>6.5500000000000007</v>
      </c>
      <c r="L32" s="105"/>
      <c r="M32" s="105"/>
      <c r="Q32" s="55"/>
      <c r="R32" s="389" t="e">
        <f>MAX(0,'2023.06 to 2024.05 LC'!$F37-$Q$6)</f>
        <v>#VALUE!</v>
      </c>
    </row>
    <row r="33" spans="1:18" s="8" customFormat="1" ht="18">
      <c r="A33" s="11"/>
      <c r="B33" s="11"/>
      <c r="C33" s="26">
        <f>+C32+1</f>
        <v>22</v>
      </c>
      <c r="D33" s="13" t="s">
        <v>48</v>
      </c>
      <c r="E33" s="22"/>
      <c r="F33" s="59"/>
      <c r="G33" s="60">
        <v>15.17</v>
      </c>
      <c r="H33" s="309"/>
      <c r="I33" s="60" t="s">
        <v>46</v>
      </c>
      <c r="J33" s="60"/>
      <c r="K33" s="60">
        <f t="shared" si="0"/>
        <v>15.17</v>
      </c>
      <c r="L33" s="105"/>
      <c r="M33" s="105"/>
      <c r="Q33" s="55"/>
      <c r="R33" s="389" t="e">
        <f>MAX(0,'2023.06 to 2024.05 LC'!$F38-$Q$6)</f>
        <v>#VALUE!</v>
      </c>
    </row>
    <row r="34" spans="1:18" s="8" customFormat="1" ht="18">
      <c r="A34" s="11"/>
      <c r="B34" s="11"/>
      <c r="C34" s="26">
        <f>+C33+1</f>
        <v>23</v>
      </c>
      <c r="D34" s="15" t="s">
        <v>49</v>
      </c>
      <c r="E34" s="22"/>
      <c r="F34" s="91"/>
      <c r="G34" s="60" t="s">
        <v>46</v>
      </c>
      <c r="H34" s="309"/>
      <c r="I34" s="60">
        <f>-45.29*1.05</f>
        <v>-47.554500000000004</v>
      </c>
      <c r="J34" s="60"/>
      <c r="K34" s="60">
        <f t="shared" si="0"/>
        <v>-47.554500000000004</v>
      </c>
      <c r="L34" s="105"/>
      <c r="M34" s="105"/>
      <c r="Q34" s="102"/>
      <c r="R34" s="389" t="e">
        <f>MAX(0,'2023.06 to 2024.05 LC'!$F39-$Q$6)</f>
        <v>#VALUE!</v>
      </c>
    </row>
    <row r="35" spans="1:18" ht="18">
      <c r="A35" s="11"/>
      <c r="B35" s="11"/>
      <c r="C35" s="26">
        <f>C34+1</f>
        <v>24</v>
      </c>
      <c r="D35" s="22" t="str">
        <f>TEXT(P6,"$#,##0")&amp;" - "&amp;TEXT(Q6,"$#,##0") &amp;"    "&amp;TEXT(P7,"$#,##0")&amp;" - "&amp;TEXT(Q7,"$#,##0")</f>
        <v>Specific Stop-Loss - $125,000    Aggregating Specific - $70,000</v>
      </c>
      <c r="E35" s="22"/>
      <c r="F35" s="107"/>
      <c r="G35" s="108">
        <v>205.72470170635933</v>
      </c>
      <c r="H35" s="109"/>
      <c r="I35" s="108" t="s">
        <v>46</v>
      </c>
      <c r="J35" s="108"/>
      <c r="K35" s="108">
        <f t="shared" si="0"/>
        <v>205.72470170635933</v>
      </c>
      <c r="L35" s="55"/>
      <c r="M35" s="55"/>
      <c r="R35" s="389" t="e">
        <f>MAX(0,'2023.06 to 2024.05 LC'!$F41-$Q$6)</f>
        <v>#VALUE!</v>
      </c>
    </row>
    <row r="36" spans="1:18" s="5" customFormat="1" ht="17.45" customHeight="1">
      <c r="B36" s="9"/>
      <c r="C36" s="26">
        <f>+C35+1</f>
        <v>25</v>
      </c>
      <c r="D36" s="23" t="s">
        <v>50</v>
      </c>
      <c r="E36" s="82"/>
      <c r="F36" s="57"/>
      <c r="G36" s="97">
        <f>SUM(G30:G35)</f>
        <v>271.83470170635934</v>
      </c>
      <c r="H36" s="110"/>
      <c r="I36" s="97">
        <f>SUM(I30:I35)</f>
        <v>-42.105000000000004</v>
      </c>
      <c r="J36" s="110"/>
      <c r="K36" s="97">
        <f>SUM(K30:K35)</f>
        <v>229.72970170635932</v>
      </c>
      <c r="L36" s="111"/>
      <c r="M36" s="306"/>
      <c r="N36" s="307"/>
      <c r="Q36" s="55"/>
      <c r="R36" s="389" t="e">
        <f>MAX(0,'2023.06 to 2024.05 LC'!$F42-$Q$6)</f>
        <v>#VALUE!</v>
      </c>
    </row>
    <row r="37" spans="1:18" ht="9" customHeight="1">
      <c r="C37" s="26"/>
      <c r="D37" s="24"/>
      <c r="E37" s="28"/>
      <c r="F37" s="58"/>
      <c r="G37" s="112"/>
      <c r="H37" s="112"/>
      <c r="I37" s="112"/>
      <c r="J37" s="112"/>
      <c r="K37" s="112"/>
      <c r="L37" s="113"/>
      <c r="M37" s="55"/>
      <c r="R37" s="389"/>
    </row>
    <row r="38" spans="1:18" ht="20.85" customHeight="1">
      <c r="C38" s="68">
        <f>C36+1</f>
        <v>26</v>
      </c>
      <c r="D38" s="69" t="s">
        <v>51</v>
      </c>
      <c r="E38" s="86"/>
      <c r="F38" s="115"/>
      <c r="G38" s="114" t="e">
        <f ca="1">+G36+G25</f>
        <v>#VALUE!</v>
      </c>
      <c r="H38" s="115"/>
      <c r="I38" s="114">
        <f ca="1">+I36+I25</f>
        <v>594.06709195746225</v>
      </c>
      <c r="J38" s="115"/>
      <c r="K38" s="114" t="e">
        <f ca="1">+K36+K27</f>
        <v>#VALUE!</v>
      </c>
      <c r="L38" s="113"/>
      <c r="M38" s="55"/>
      <c r="Q38" s="102"/>
      <c r="R38" s="389"/>
    </row>
    <row r="39" spans="1:18" ht="9" customHeight="1">
      <c r="C39" s="26"/>
      <c r="D39" s="28"/>
      <c r="E39" s="28"/>
      <c r="F39" s="58"/>
      <c r="G39" s="112"/>
      <c r="H39" s="112"/>
      <c r="I39" s="112"/>
      <c r="J39" s="112"/>
      <c r="K39" s="112"/>
      <c r="L39" s="113"/>
      <c r="M39" s="55"/>
      <c r="R39" s="389"/>
    </row>
    <row r="40" spans="1:18" ht="17.45" customHeight="1">
      <c r="C40" s="26">
        <f>+C38+1</f>
        <v>27</v>
      </c>
      <c r="D40" s="23" t="s">
        <v>52</v>
      </c>
      <c r="E40" s="14"/>
      <c r="F40" s="116"/>
      <c r="G40" s="117"/>
      <c r="H40" s="117"/>
      <c r="I40" s="117"/>
      <c r="J40" s="117"/>
      <c r="K40" s="61">
        <f ca="1">(SUM(OFFSET('Medical &amp; Rx Total'!$C$7,COUNT('Medical &amp; Rx Total'!$C$8:$C$30),0,-1)))/(SUM(OFFSET('Medical &amp; Rx Total'!$B$7,COUNT('Medical &amp; Rx Total'!$B$8:$B$30),0,-1)))</f>
        <v>1838.9992140468228</v>
      </c>
      <c r="L40" s="118"/>
      <c r="M40" s="55"/>
      <c r="R40" s="389"/>
    </row>
    <row r="41" spans="1:18" ht="9" customHeight="1">
      <c r="C41" s="26"/>
      <c r="D41" s="28"/>
      <c r="E41" s="28"/>
      <c r="F41" s="58"/>
      <c r="G41" s="58"/>
      <c r="H41" s="58"/>
      <c r="I41" s="58"/>
      <c r="J41" s="58"/>
      <c r="K41" s="58"/>
      <c r="L41" s="113"/>
      <c r="M41" s="55"/>
      <c r="Q41" s="102"/>
      <c r="R41" s="389" t="e">
        <f>MAX(0,'2023.06 to 2024.05 LC'!$F47-$Q$6)</f>
        <v>#VALUE!</v>
      </c>
    </row>
    <row r="42" spans="1:18" ht="20.85" customHeight="1">
      <c r="C42" s="26"/>
      <c r="D42" s="24" t="s">
        <v>53</v>
      </c>
      <c r="E42" s="28"/>
      <c r="F42" s="58"/>
      <c r="G42" s="58"/>
      <c r="H42" s="58"/>
      <c r="I42" s="58"/>
      <c r="J42" s="58"/>
      <c r="K42" s="58" t="s">
        <v>20</v>
      </c>
      <c r="L42" s="113"/>
      <c r="M42" s="55"/>
      <c r="R42" s="389" t="e">
        <f>MAX(0,'2023.06 to 2024.05 LC'!$F48-$Q$6)</f>
        <v>#VALUE!</v>
      </c>
    </row>
    <row r="43" spans="1:18" s="31" customFormat="1" ht="17.45" customHeight="1">
      <c r="C43" s="68">
        <f>+C40+1</f>
        <v>28</v>
      </c>
      <c r="D43" s="69" t="s">
        <v>54</v>
      </c>
      <c r="E43" s="86"/>
      <c r="F43" s="115"/>
      <c r="G43" s="114" t="s">
        <v>20</v>
      </c>
      <c r="H43" s="115"/>
      <c r="I43" s="114"/>
      <c r="J43" s="115"/>
      <c r="K43" s="297" t="e">
        <f ca="1">+K38/K40-1</f>
        <v>#VALUE!</v>
      </c>
      <c r="L43" s="119"/>
      <c r="M43" s="119"/>
      <c r="Q43" s="55"/>
      <c r="R43" s="389" t="e">
        <f>MAX(0,'2023.06 to 2024.05 LC'!$F49-$Q$6)</f>
        <v>#VALUE!</v>
      </c>
    </row>
    <row r="44" spans="1:18" s="16" customFormat="1" ht="17.45" customHeight="1">
      <c r="C44" s="26">
        <f>+C43+1</f>
        <v>29</v>
      </c>
      <c r="D44" s="14" t="s">
        <v>55</v>
      </c>
      <c r="E44" s="14"/>
      <c r="F44" s="30"/>
      <c r="G44" s="120"/>
      <c r="H44" s="30"/>
      <c r="I44" s="120"/>
      <c r="J44" s="30"/>
      <c r="K44" s="120" t="e">
        <f ca="1">+((K27*1.015)+$K$36)/$K$40-1</f>
        <v>#VALUE!</v>
      </c>
      <c r="L44" s="49"/>
      <c r="M44" s="49"/>
      <c r="Q44" s="102"/>
      <c r="R44" s="389" t="e">
        <f>MAX(0,'2023.06 to 2024.05 LC'!$F50-$Q$6)</f>
        <v>#VALUE!</v>
      </c>
    </row>
    <row r="45" spans="1:18" s="16" customFormat="1" ht="17.45" customHeight="1">
      <c r="C45" s="26">
        <f>+C44+1</f>
        <v>30</v>
      </c>
      <c r="D45" s="14" t="s">
        <v>56</v>
      </c>
      <c r="E45" s="14"/>
      <c r="F45" s="30"/>
      <c r="G45" s="120"/>
      <c r="H45" s="30"/>
      <c r="I45" s="120"/>
      <c r="J45" s="30"/>
      <c r="K45" s="120" t="e">
        <f ca="1">+((K27*1.03)+$K$36)/$K$40-1</f>
        <v>#VALUE!</v>
      </c>
      <c r="L45" s="49"/>
      <c r="M45" s="49"/>
      <c r="Q45" s="55"/>
      <c r="R45" s="389" t="e">
        <f>MAX(0,'2023.06 to 2024.05 LC'!$F51-$Q$6)</f>
        <v>#VALUE!</v>
      </c>
    </row>
    <row r="46" spans="1:18" s="16" customFormat="1" ht="17.45" customHeight="1">
      <c r="C46" s="26">
        <f>+C45+1</f>
        <v>31</v>
      </c>
      <c r="D46" s="14" t="s">
        <v>57</v>
      </c>
      <c r="E46" s="14"/>
      <c r="F46" s="30"/>
      <c r="G46" s="30"/>
      <c r="H46" s="30"/>
      <c r="I46" s="30"/>
      <c r="J46" s="30"/>
      <c r="K46" s="120" t="e">
        <f ca="1">+((K27*1.05)+$K$36)/$K$40-1</f>
        <v>#VALUE!</v>
      </c>
      <c r="L46" s="49"/>
      <c r="M46" s="49"/>
      <c r="Q46" s="55"/>
      <c r="R46" s="389" t="e">
        <f>MAX(0,'2023.06 to 2024.05 LC'!$F52-$Q$6)</f>
        <v>#VALUE!</v>
      </c>
    </row>
    <row r="47" spans="1:18" hidden="1">
      <c r="C47" s="83">
        <f>+C46+1</f>
        <v>32</v>
      </c>
      <c r="D47" s="84" t="s">
        <v>58</v>
      </c>
      <c r="E47" s="84"/>
      <c r="F47" s="121"/>
      <c r="G47" s="121"/>
      <c r="H47" s="121"/>
      <c r="I47" s="121"/>
      <c r="J47" s="121"/>
      <c r="K47" s="122" t="e">
        <f ca="1">+K44</f>
        <v>#VALUE!</v>
      </c>
      <c r="L47" s="55"/>
      <c r="M47" s="55"/>
      <c r="Q47" s="102"/>
      <c r="R47" s="389" t="e">
        <f>MAX(0,'2023.06 to 2024.05 LC'!$F53-$Q$6)</f>
        <v>#VALUE!</v>
      </c>
    </row>
    <row r="48" spans="1:18">
      <c r="C48" s="85"/>
      <c r="F48" s="55"/>
      <c r="G48" s="55"/>
      <c r="H48" s="55"/>
      <c r="I48" s="55"/>
      <c r="J48" s="55"/>
      <c r="K48" s="55" t="s">
        <v>20</v>
      </c>
      <c r="L48" s="55"/>
      <c r="M48" s="55"/>
      <c r="R48" s="389" t="e">
        <f>MAX(0,'2023.06 to 2024.05 LC'!$F54-$Q$6)</f>
        <v>#VALUE!</v>
      </c>
    </row>
    <row r="49" spans="3:18">
      <c r="C49" s="85" t="s">
        <v>59</v>
      </c>
      <c r="F49" s="55"/>
      <c r="G49" s="55"/>
      <c r="H49" s="55"/>
      <c r="I49" s="55"/>
      <c r="J49" s="55"/>
      <c r="K49" s="123"/>
      <c r="L49" s="55"/>
      <c r="M49" s="55"/>
      <c r="R49" s="389" t="e">
        <f>MAX(0,'2023.06 to 2024.05 LC'!$F55-$Q$6)</f>
        <v>#VALUE!</v>
      </c>
    </row>
    <row r="50" spans="3:18">
      <c r="C50" s="85"/>
      <c r="F50" s="55"/>
      <c r="G50" s="55"/>
      <c r="H50" s="55"/>
      <c r="I50" s="55"/>
      <c r="J50" s="55"/>
      <c r="K50" s="124"/>
      <c r="L50" s="55"/>
      <c r="M50" s="55"/>
      <c r="Q50" s="102"/>
      <c r="R50" s="389" t="e">
        <f>MAX(0,'2023.06 to 2024.05 LC'!$F56-$Q$6)</f>
        <v>#VALUE!</v>
      </c>
    </row>
    <row r="51" spans="3:18">
      <c r="F51" s="55"/>
      <c r="G51" s="55"/>
      <c r="H51" s="55"/>
      <c r="I51" s="55"/>
      <c r="J51" s="55"/>
      <c r="K51" s="55"/>
      <c r="L51" s="55"/>
      <c r="M51" s="55"/>
      <c r="R51" s="389" t="e">
        <f>MAX(0,'2023.06 to 2024.05 LC'!$F57-$Q$6)</f>
        <v>#VALUE!</v>
      </c>
    </row>
    <row r="52" spans="3:18">
      <c r="F52" s="55"/>
      <c r="G52" s="55"/>
      <c r="H52" s="55"/>
      <c r="I52" s="55"/>
      <c r="J52" s="55"/>
      <c r="K52" s="55"/>
      <c r="L52" s="55"/>
      <c r="M52" s="55"/>
      <c r="R52" s="389" t="e">
        <f>MAX(0,'2023.06 to 2024.05 LC'!$F58-$Q$6)</f>
        <v>#VALUE!</v>
      </c>
    </row>
    <row r="53" spans="3:18">
      <c r="F53" s="55"/>
      <c r="G53" s="55"/>
      <c r="H53" s="55"/>
      <c r="I53" s="55"/>
      <c r="J53" s="55"/>
      <c r="K53" s="55"/>
      <c r="L53" s="55"/>
      <c r="M53" s="55"/>
      <c r="Q53" s="102"/>
      <c r="R53" s="389" t="e">
        <f>MAX(0,'2023.06 to 2024.05 LC'!$F59-$Q$6)</f>
        <v>#VALUE!</v>
      </c>
    </row>
    <row r="54" spans="3:18">
      <c r="F54" s="55"/>
      <c r="G54" s="55"/>
      <c r="H54" s="55"/>
      <c r="I54" s="55"/>
      <c r="J54" s="55"/>
      <c r="K54" s="55"/>
      <c r="L54" s="55"/>
      <c r="M54" s="55"/>
      <c r="R54" s="389" t="e">
        <f>MAX(0,'2023.06 to 2024.05 LC'!$F60-$Q$6)</f>
        <v>#VALUE!</v>
      </c>
    </row>
    <row r="55" spans="3:18">
      <c r="F55" s="55"/>
      <c r="G55" s="55"/>
      <c r="H55" s="55"/>
      <c r="I55" s="55"/>
      <c r="J55" s="55"/>
      <c r="K55" s="55"/>
      <c r="L55" s="55"/>
      <c r="M55" s="55"/>
      <c r="R55" s="389" t="e">
        <f>MAX(0,'2023.06 to 2024.05 LC'!$F61-$Q$6)</f>
        <v>#VALUE!</v>
      </c>
    </row>
    <row r="56" spans="3:18">
      <c r="F56" s="55"/>
      <c r="G56" s="55"/>
      <c r="H56" s="55"/>
      <c r="I56" s="55"/>
      <c r="J56" s="55"/>
      <c r="K56" s="55"/>
      <c r="L56" s="55"/>
      <c r="M56" s="55"/>
      <c r="Q56" s="102"/>
      <c r="R56" s="389" t="e">
        <f>MAX(0,'2023.06 to 2024.05 LC'!$F62-$Q$6)</f>
        <v>#VALUE!</v>
      </c>
    </row>
    <row r="57" spans="3:18">
      <c r="F57" s="55"/>
      <c r="G57" s="55"/>
      <c r="H57" s="55"/>
      <c r="I57" s="55"/>
      <c r="J57" s="55"/>
      <c r="K57" s="55"/>
      <c r="L57" s="55"/>
      <c r="M57" s="55"/>
      <c r="R57" s="389" t="e">
        <f>MAX(0,'2023.06 to 2024.05 LC'!$F63-$Q$6)</f>
        <v>#VALUE!</v>
      </c>
    </row>
    <row r="58" spans="3:18">
      <c r="F58" s="55"/>
      <c r="G58" s="55"/>
      <c r="H58" s="55"/>
      <c r="I58" s="55"/>
      <c r="J58" s="55"/>
      <c r="K58" s="55"/>
      <c r="L58" s="55"/>
      <c r="M58" s="55"/>
      <c r="R58" s="389" t="e">
        <f>MAX(0,'2023.06 to 2024.05 LC'!$F64-$Q$6)</f>
        <v>#VALUE!</v>
      </c>
    </row>
    <row r="59" spans="3:18">
      <c r="F59" s="55"/>
      <c r="G59" s="55"/>
      <c r="H59" s="55"/>
      <c r="I59" s="99"/>
      <c r="J59" s="99"/>
      <c r="K59" s="55"/>
      <c r="L59" s="55"/>
      <c r="M59" s="55"/>
      <c r="Q59" s="102"/>
      <c r="R59" s="389" t="e">
        <f>MAX(0,'2023.06 to 2024.05 LC'!$F65-$Q$6)</f>
        <v>#VALUE!</v>
      </c>
    </row>
    <row r="60" spans="3:18">
      <c r="F60" s="55"/>
      <c r="G60" s="55"/>
      <c r="H60" s="55"/>
      <c r="I60" s="99"/>
      <c r="J60" s="99"/>
      <c r="K60" s="55"/>
      <c r="L60" s="55"/>
      <c r="M60" s="55"/>
      <c r="R60" s="389" t="e">
        <f>MAX(0,'2023.06 to 2024.05 LC'!$F66-$Q$6)</f>
        <v>#VALUE!</v>
      </c>
    </row>
    <row r="61" spans="3:18">
      <c r="F61" s="55"/>
      <c r="G61" s="55"/>
      <c r="H61" s="55"/>
      <c r="I61" s="99"/>
      <c r="J61" s="99"/>
      <c r="K61" s="55"/>
      <c r="L61" s="55"/>
      <c r="M61" s="55"/>
      <c r="R61" s="389" t="e">
        <f>MAX(0,'2023.06 to 2024.05 LC'!$F67-$Q$6)</f>
        <v>#VALUE!</v>
      </c>
    </row>
    <row r="62" spans="3:18">
      <c r="F62" s="55"/>
      <c r="G62" s="55"/>
      <c r="H62" s="55"/>
      <c r="I62" s="55"/>
      <c r="J62" s="55"/>
      <c r="K62" s="55"/>
      <c r="L62" s="55"/>
      <c r="M62" s="55"/>
      <c r="Q62" s="102"/>
      <c r="R62" s="389" t="e">
        <f>MAX(0,'2023.06 to 2024.05 LC'!$F68-$Q$6)</f>
        <v>#VALUE!</v>
      </c>
    </row>
    <row r="63" spans="3:18">
      <c r="F63" s="55"/>
      <c r="G63" s="55"/>
      <c r="H63" s="55"/>
      <c r="I63" s="55"/>
      <c r="J63" s="55"/>
      <c r="K63" s="55"/>
      <c r="L63" s="55"/>
      <c r="M63" s="55"/>
      <c r="R63" s="389" t="e">
        <f>MAX(0,'2023.06 to 2024.05 LC'!$F69-$Q$6)</f>
        <v>#VALUE!</v>
      </c>
    </row>
    <row r="64" spans="3:18">
      <c r="F64" s="55"/>
      <c r="G64" s="55"/>
      <c r="H64" s="55"/>
      <c r="I64" s="55"/>
      <c r="J64" s="55"/>
      <c r="K64" s="99"/>
      <c r="L64" s="55"/>
      <c r="M64" s="55"/>
      <c r="R64" s="389" t="e">
        <f>MAX(0,'2023.06 to 2024.05 LC'!$F70-$Q$6)</f>
        <v>#VALUE!</v>
      </c>
    </row>
    <row r="65" spans="6:18">
      <c r="F65" s="55"/>
      <c r="G65" s="55"/>
      <c r="H65" s="55"/>
      <c r="I65" s="55"/>
      <c r="J65" s="55"/>
      <c r="K65" s="55"/>
      <c r="L65" s="55"/>
      <c r="M65" s="55"/>
      <c r="Q65" s="102"/>
      <c r="R65" s="389" t="e">
        <f>MAX(0,'2023.06 to 2024.05 LC'!$F71-$Q$6)</f>
        <v>#VALUE!</v>
      </c>
    </row>
    <row r="66" spans="6:18">
      <c r="F66" s="55"/>
      <c r="G66" s="55"/>
      <c r="H66" s="55"/>
      <c r="I66" s="55"/>
      <c r="J66" s="55"/>
      <c r="K66" s="55"/>
      <c r="L66" s="55"/>
      <c r="M66" s="55"/>
      <c r="R66" s="389" t="e">
        <f>MAX(0,'2023.06 to 2024.05 LC'!$F72-$Q$6)</f>
        <v>#VALUE!</v>
      </c>
    </row>
    <row r="67" spans="6:18">
      <c r="F67" s="55"/>
      <c r="G67" s="55"/>
      <c r="H67" s="55"/>
      <c r="I67" s="55"/>
      <c r="J67" s="55"/>
      <c r="K67" s="55"/>
      <c r="L67" s="55"/>
      <c r="M67" s="55"/>
      <c r="R67" s="389" t="e">
        <f>MAX(0,'2023.06 to 2024.05 LC'!$F73-$Q$6)</f>
        <v>#VALUE!</v>
      </c>
    </row>
    <row r="68" spans="6:18">
      <c r="F68" s="55"/>
      <c r="G68" s="55"/>
      <c r="H68" s="55"/>
      <c r="I68" s="55"/>
      <c r="J68" s="55"/>
      <c r="K68" s="55"/>
      <c r="L68" s="55"/>
      <c r="M68" s="55"/>
      <c r="Q68" s="102"/>
      <c r="R68" s="389" t="e">
        <f>MAX(0,'2023.06 to 2024.05 LC'!$F74-$Q$6)</f>
        <v>#VALUE!</v>
      </c>
    </row>
    <row r="69" spans="6:18">
      <c r="F69" s="55"/>
      <c r="G69" s="55"/>
      <c r="H69" s="55"/>
      <c r="I69" s="55"/>
      <c r="J69" s="55"/>
      <c r="K69" s="55"/>
      <c r="L69" s="55"/>
      <c r="M69" s="55"/>
      <c r="R69" s="389" t="e">
        <f>MAX(0,'2023.06 to 2024.05 LC'!$F75-$Q$6)</f>
        <v>#VALUE!</v>
      </c>
    </row>
    <row r="70" spans="6:18">
      <c r="F70" s="55"/>
      <c r="G70" s="55"/>
      <c r="H70" s="55"/>
      <c r="I70" s="55"/>
      <c r="J70" s="55"/>
      <c r="K70" s="55"/>
      <c r="L70" s="55"/>
      <c r="M70" s="55"/>
      <c r="R70" s="389" t="e">
        <f>MAX(0,'2023.06 to 2024.05 LC'!$F76-$Q$6)</f>
        <v>#VALUE!</v>
      </c>
    </row>
    <row r="71" spans="6:18">
      <c r="F71" s="55"/>
      <c r="G71" s="55"/>
      <c r="H71" s="55"/>
      <c r="I71" s="55"/>
      <c r="J71" s="55"/>
      <c r="K71" s="55"/>
      <c r="L71" s="55"/>
      <c r="M71" s="55"/>
      <c r="Q71" s="102"/>
      <c r="R71" s="389" t="e">
        <f>MAX(0,'2023.06 to 2024.05 LC'!$F77-$Q$6)</f>
        <v>#VALUE!</v>
      </c>
    </row>
    <row r="72" spans="6:18">
      <c r="F72" s="55"/>
      <c r="G72" s="55"/>
      <c r="H72" s="55"/>
      <c r="I72" s="55"/>
      <c r="J72" s="55"/>
      <c r="K72" s="55"/>
      <c r="L72" s="55"/>
      <c r="M72" s="55"/>
      <c r="R72" s="389" t="e">
        <f>MAX(0,'2023.06 to 2024.05 LC'!$F78-$Q$6)</f>
        <v>#VALUE!</v>
      </c>
    </row>
    <row r="73" spans="6:18">
      <c r="F73" s="55"/>
      <c r="G73" s="55"/>
      <c r="H73" s="55"/>
      <c r="I73" s="55"/>
      <c r="J73" s="55"/>
      <c r="K73" s="55"/>
      <c r="L73" s="55"/>
      <c r="M73" s="55"/>
      <c r="R73" s="389" t="e">
        <f>MAX(0,'2023.06 to 2024.05 LC'!$F79-$Q$6)</f>
        <v>#VALUE!</v>
      </c>
    </row>
    <row r="74" spans="6:18">
      <c r="F74" s="55"/>
      <c r="G74" s="55"/>
      <c r="H74" s="55"/>
      <c r="I74" s="55"/>
      <c r="J74" s="55"/>
      <c r="K74" s="55"/>
      <c r="L74" s="55"/>
      <c r="M74" s="55"/>
      <c r="Q74" s="102"/>
      <c r="R74" s="389" t="e">
        <f>MAX(0,'2023.06 to 2024.05 LC'!$F80-$Q$6)</f>
        <v>#VALUE!</v>
      </c>
    </row>
    <row r="75" spans="6:18">
      <c r="F75" s="55"/>
      <c r="G75" s="55"/>
      <c r="H75" s="55"/>
      <c r="I75" s="55"/>
      <c r="J75" s="55"/>
      <c r="K75" s="55"/>
      <c r="L75" s="55"/>
      <c r="M75" s="55"/>
      <c r="R75" s="389" t="e">
        <f>MAX(0,'2023.06 to 2024.05 LC'!$F81-$Q$6)</f>
        <v>#VALUE!</v>
      </c>
    </row>
    <row r="76" spans="6:18">
      <c r="F76" s="55"/>
      <c r="G76" s="55"/>
      <c r="H76" s="55"/>
      <c r="I76" s="55"/>
      <c r="J76" s="55"/>
      <c r="K76" s="55"/>
      <c r="L76" s="55"/>
      <c r="M76" s="55"/>
      <c r="R76" s="389" t="e">
        <f>MAX(0,'2023.06 to 2024.05 LC'!$F82-$Q$6)</f>
        <v>#VALUE!</v>
      </c>
    </row>
    <row r="77" spans="6:18">
      <c r="F77" s="55"/>
      <c r="G77" s="55"/>
      <c r="H77" s="55"/>
      <c r="I77" s="55"/>
      <c r="J77" s="55"/>
      <c r="K77" s="55"/>
      <c r="L77" s="55"/>
      <c r="M77" s="55"/>
      <c r="Q77" s="102"/>
      <c r="R77" s="389" t="e">
        <f>MAX(0,'2023.06 to 2024.05 LC'!$F83-$Q$6)</f>
        <v>#VALUE!</v>
      </c>
    </row>
    <row r="78" spans="6:18">
      <c r="F78" s="55"/>
      <c r="G78" s="55"/>
      <c r="H78" s="55"/>
      <c r="I78" s="55"/>
      <c r="J78" s="55"/>
      <c r="K78" s="55"/>
      <c r="L78" s="55"/>
      <c r="M78" s="55"/>
      <c r="R78" s="389" t="e">
        <f>MAX(0,'2023.06 to 2024.05 LC'!$F84-$Q$6)</f>
        <v>#VALUE!</v>
      </c>
    </row>
    <row r="79" spans="6:18">
      <c r="F79" s="55"/>
      <c r="G79" s="55"/>
      <c r="H79" s="55"/>
      <c r="I79" s="55"/>
      <c r="J79" s="55"/>
      <c r="K79" s="55"/>
      <c r="L79" s="55"/>
      <c r="M79" s="55"/>
      <c r="R79" s="389" t="e">
        <f>MAX(0,'2023.06 to 2024.05 LC'!$F85-$Q$6)</f>
        <v>#VALUE!</v>
      </c>
    </row>
    <row r="80" spans="6:18">
      <c r="F80" s="55"/>
      <c r="G80" s="55"/>
      <c r="H80" s="55"/>
      <c r="I80" s="55"/>
      <c r="J80" s="55"/>
      <c r="K80" s="55"/>
      <c r="L80" s="55"/>
      <c r="M80" s="55"/>
      <c r="Q80" s="102"/>
      <c r="R80" s="389" t="e">
        <f>MAX(0,'2023.06 to 2024.05 LC'!$F86-$Q$6)</f>
        <v>#VALUE!</v>
      </c>
    </row>
    <row r="81" spans="6:18">
      <c r="F81" s="55"/>
      <c r="G81" s="55"/>
      <c r="H81" s="55"/>
      <c r="I81" s="55"/>
      <c r="J81" s="55"/>
      <c r="K81" s="55"/>
      <c r="L81" s="55"/>
      <c r="M81" s="55"/>
      <c r="R81" s="389" t="e">
        <f>MAX(0,'2023.06 to 2024.05 LC'!$F87-$Q$6)</f>
        <v>#VALUE!</v>
      </c>
    </row>
    <row r="82" spans="6:18">
      <c r="H82" s="2"/>
      <c r="R82" s="389" t="e">
        <f>MAX(0,'2023.06 to 2024.05 LC'!$F88-$Q$6)</f>
        <v>#VALUE!</v>
      </c>
    </row>
    <row r="83" spans="6:18">
      <c r="H83" s="2"/>
      <c r="Q83" s="102"/>
      <c r="R83" s="389" t="e">
        <f>MAX(0,'2023.06 to 2024.05 LC'!$F89-$Q$6)</f>
        <v>#VALUE!</v>
      </c>
    </row>
    <row r="84" spans="6:18">
      <c r="H84" s="2"/>
      <c r="R84" s="389" t="e">
        <f>MAX(0,'2023.06 to 2024.05 LC'!$F90-$Q$6)</f>
        <v>#VALUE!</v>
      </c>
    </row>
    <row r="85" spans="6:18">
      <c r="H85" s="2"/>
      <c r="R85" s="389" t="e">
        <f>MAX(0,'2023.06 to 2024.05 LC'!$F91-$Q$6)</f>
        <v>#VALUE!</v>
      </c>
    </row>
    <row r="86" spans="6:18">
      <c r="H86" s="2"/>
      <c r="Q86" s="102"/>
      <c r="R86" s="389" t="e">
        <f>MAX(0,'2023.06 to 2024.05 LC'!$F92-$Q$6)</f>
        <v>#VALUE!</v>
      </c>
    </row>
    <row r="87" spans="6:18">
      <c r="H87" s="2"/>
      <c r="R87" s="389" t="e">
        <f>MAX(0,'2023.06 to 2024.05 LC'!$F93-$Q$6)</f>
        <v>#VALUE!</v>
      </c>
    </row>
    <row r="88" spans="6:18">
      <c r="H88" s="2"/>
      <c r="R88" s="389" t="e">
        <f>MAX(0,'2023.06 to 2024.05 LC'!$F94-$Q$6)</f>
        <v>#VALUE!</v>
      </c>
    </row>
    <row r="89" spans="6:18">
      <c r="H89" s="2"/>
      <c r="Q89" s="102"/>
      <c r="R89" s="389" t="e">
        <f>MAX(0,'2023.06 to 2024.05 LC'!$F95-$Q$6)</f>
        <v>#VALUE!</v>
      </c>
    </row>
    <row r="90" spans="6:18">
      <c r="H90" s="2"/>
      <c r="R90" s="389" t="e">
        <f>MAX(0,'2023.06 to 2024.05 LC'!$F96-$Q$6)</f>
        <v>#VALUE!</v>
      </c>
    </row>
    <row r="91" spans="6:18">
      <c r="H91" s="2"/>
      <c r="R91" s="389" t="e">
        <f>MAX(0,'2023.06 to 2024.05 LC'!$F97-$Q$6)</f>
        <v>#VALUE!</v>
      </c>
    </row>
    <row r="92" spans="6:18">
      <c r="H92" s="2"/>
      <c r="Q92" s="102"/>
      <c r="R92" s="389" t="e">
        <f>MAX(0,'2023.06 to 2024.05 LC'!$F98-$Q$6)</f>
        <v>#VALUE!</v>
      </c>
    </row>
    <row r="93" spans="6:18">
      <c r="H93" s="2"/>
      <c r="R93" s="389" t="e">
        <f>MAX(0,'2023.06 to 2024.05 LC'!$F99-$Q$6)</f>
        <v>#VALUE!</v>
      </c>
    </row>
    <row r="94" spans="6:18">
      <c r="H94" s="2"/>
      <c r="R94" s="389" t="e">
        <f>MAX(0,'2023.06 to 2024.05 LC'!$F100-$Q$6)</f>
        <v>#VALUE!</v>
      </c>
    </row>
    <row r="95" spans="6:18">
      <c r="H95" s="2"/>
      <c r="Q95" s="102"/>
      <c r="R95" s="389" t="e">
        <f>MAX(0,'2023.06 to 2024.05 LC'!$F101-$Q$6)</f>
        <v>#VALUE!</v>
      </c>
    </row>
    <row r="96" spans="6:18">
      <c r="H96" s="2"/>
      <c r="R96" s="389" t="e">
        <f>MAX(0,'2023.06 to 2024.05 LC'!$F102-$Q$6)</f>
        <v>#VALUE!</v>
      </c>
    </row>
    <row r="97" spans="8:18">
      <c r="H97" s="2"/>
      <c r="R97" s="389" t="e">
        <f>MAX(0,'2023.06 to 2024.05 LC'!$F103-$Q$6)</f>
        <v>#VALUE!</v>
      </c>
    </row>
    <row r="98" spans="8:18">
      <c r="H98" s="2"/>
      <c r="Q98" s="102"/>
      <c r="R98" s="389" t="e">
        <f>MAX(0,'2023.06 to 2024.05 LC'!$F104-$Q$6)</f>
        <v>#VALUE!</v>
      </c>
    </row>
    <row r="99" spans="8:18">
      <c r="H99" s="2"/>
      <c r="R99" s="389" t="e">
        <f>MAX(0,'2023.06 to 2024.05 LC'!$F105-$Q$6)</f>
        <v>#VALUE!</v>
      </c>
    </row>
    <row r="100" spans="8:18">
      <c r="H100" s="2"/>
      <c r="R100" s="389" t="e">
        <f>MAX(0,'2023.06 to 2024.05 LC'!$F106-$Q$6)</f>
        <v>#VALUE!</v>
      </c>
    </row>
    <row r="101" spans="8:18">
      <c r="H101" s="2"/>
      <c r="Q101" s="102"/>
      <c r="R101" s="389" t="e">
        <f>MAX(0,'2023.06 to 2024.05 LC'!$F107-$Q$6)</f>
        <v>#VALUE!</v>
      </c>
    </row>
    <row r="102" spans="8:18">
      <c r="H102" s="2"/>
      <c r="R102" s="389" t="e">
        <f>MAX(0,'2023.06 to 2024.05 LC'!$F108-$Q$6)</f>
        <v>#VALUE!</v>
      </c>
    </row>
    <row r="103" spans="8:18">
      <c r="H103" s="2"/>
      <c r="R103" s="389" t="e">
        <f>MAX(0,'2023.06 to 2024.05 LC'!$F109-$Q$6)</f>
        <v>#VALUE!</v>
      </c>
    </row>
    <row r="104" spans="8:18">
      <c r="H104" s="2"/>
      <c r="Q104" s="102"/>
      <c r="R104" s="389" t="e">
        <f>MAX(0,'2023.06 to 2024.05 LC'!$F110-$Q$6)</f>
        <v>#VALUE!</v>
      </c>
    </row>
    <row r="105" spans="8:18">
      <c r="H105" s="2"/>
      <c r="R105" s="389" t="e">
        <f>MAX(0,'2023.06 to 2024.05 LC'!$F111-$Q$6)</f>
        <v>#VALUE!</v>
      </c>
    </row>
    <row r="106" spans="8:18">
      <c r="H106" s="2"/>
      <c r="R106" s="389" t="e">
        <f>MAX(0,'2023.06 to 2024.05 LC'!$F112-$Q$6)</f>
        <v>#VALUE!</v>
      </c>
    </row>
    <row r="107" spans="8:18">
      <c r="H107" s="2"/>
      <c r="Q107" s="102"/>
      <c r="R107" s="389" t="e">
        <f>MAX(0,'2023.06 to 2024.05 LC'!$F113-$Q$6)</f>
        <v>#VALUE!</v>
      </c>
    </row>
    <row r="108" spans="8:18">
      <c r="H108" s="2"/>
      <c r="R108" s="389" t="e">
        <f>MAX(0,'2023.06 to 2024.05 LC'!$F114-$Q$6)</f>
        <v>#VALUE!</v>
      </c>
    </row>
    <row r="109" spans="8:18">
      <c r="H109" s="2"/>
      <c r="R109" s="389" t="e">
        <f>MAX(0,'2023.06 to 2024.05 LC'!$F115-$Q$6)</f>
        <v>#VALUE!</v>
      </c>
    </row>
    <row r="110" spans="8:18">
      <c r="H110" s="2"/>
      <c r="Q110" s="102"/>
      <c r="R110" s="389" t="e">
        <f>MAX(0,'2023.06 to 2024.05 LC'!$F116-$Q$6)</f>
        <v>#VALUE!</v>
      </c>
    </row>
    <row r="111" spans="8:18">
      <c r="H111" s="2"/>
      <c r="R111" s="389" t="e">
        <f>MAX(0,'2023.06 to 2024.05 LC'!$F117-$Q$6)</f>
        <v>#VALUE!</v>
      </c>
    </row>
    <row r="112" spans="8:18">
      <c r="H112" s="2"/>
      <c r="R112" s="389" t="e">
        <f>MAX(0,'2023.06 to 2024.05 LC'!$F118-$Q$6)</f>
        <v>#VALUE!</v>
      </c>
    </row>
    <row r="113" spans="8:18">
      <c r="H113" s="2"/>
      <c r="Q113" s="102"/>
      <c r="R113" s="389" t="e">
        <f>MAX(0,'2023.06 to 2024.05 LC'!$F119-$Q$6)</f>
        <v>#VALUE!</v>
      </c>
    </row>
    <row r="114" spans="8:18">
      <c r="H114" s="2"/>
      <c r="R114" s="389" t="e">
        <f>MAX(0,'2023.06 to 2024.05 LC'!$F120-$Q$6)</f>
        <v>#VALUE!</v>
      </c>
    </row>
    <row r="115" spans="8:18">
      <c r="H115" s="2"/>
      <c r="R115" s="389" t="e">
        <f>MAX(0,'2023.06 to 2024.05 LC'!$F121-$Q$6)</f>
        <v>#VALUE!</v>
      </c>
    </row>
    <row r="116" spans="8:18">
      <c r="H116" s="2"/>
      <c r="Q116" s="102"/>
      <c r="R116" s="389" t="e">
        <f>MAX(0,'2023.06 to 2024.05 LC'!$F122-$Q$6)</f>
        <v>#VALUE!</v>
      </c>
    </row>
    <row r="117" spans="8:18">
      <c r="H117" s="2"/>
      <c r="R117" s="389" t="e">
        <f>MAX(0,'2023.06 to 2024.05 LC'!$F123-$Q$6)</f>
        <v>#VALUE!</v>
      </c>
    </row>
    <row r="118" spans="8:18">
      <c r="H118" s="2"/>
      <c r="R118" s="389" t="e">
        <f>MAX(0,'2023.06 to 2024.05 LC'!$F124-$Q$6)</f>
        <v>#VALUE!</v>
      </c>
    </row>
    <row r="119" spans="8:18">
      <c r="H119" s="2"/>
      <c r="Q119" s="102"/>
      <c r="R119" s="389" t="e">
        <f>MAX(0,'2023.06 to 2024.05 LC'!$F125-$Q$6)</f>
        <v>#VALUE!</v>
      </c>
    </row>
    <row r="120" spans="8:18">
      <c r="H120" s="2"/>
      <c r="R120" s="389" t="e">
        <f>MAX(0,'2023.06 to 2024.05 LC'!$F126-$Q$6)</f>
        <v>#VALUE!</v>
      </c>
    </row>
    <row r="121" spans="8:18">
      <c r="H121" s="2"/>
      <c r="R121" s="389" t="e">
        <f>MAX(0,'2023.06 to 2024.05 LC'!$F127-$Q$6)</f>
        <v>#VALUE!</v>
      </c>
    </row>
    <row r="122" spans="8:18">
      <c r="H122" s="2"/>
      <c r="Q122" s="102"/>
      <c r="R122" s="389" t="e">
        <f>MAX(0,'2023.06 to 2024.05 LC'!$F128-$Q$6)</f>
        <v>#VALUE!</v>
      </c>
    </row>
    <row r="123" spans="8:18">
      <c r="H123" s="2"/>
      <c r="R123" s="389" t="e">
        <f>MAX(0,'2023.06 to 2024.05 LC'!$F129-$Q$6)</f>
        <v>#VALUE!</v>
      </c>
    </row>
    <row r="124" spans="8:18">
      <c r="H124" s="2"/>
      <c r="R124" s="389" t="e">
        <f>MAX(0,'2023.06 to 2024.05 LC'!$F130-$Q$6)</f>
        <v>#VALUE!</v>
      </c>
    </row>
    <row r="125" spans="8:18">
      <c r="H125" s="2"/>
      <c r="Q125" s="102"/>
      <c r="R125" s="389" t="e">
        <f>MAX(0,'2023.06 to 2024.05 LC'!$F131-$Q$6)</f>
        <v>#VALUE!</v>
      </c>
    </row>
    <row r="126" spans="8:18">
      <c r="H126" s="2"/>
      <c r="R126" s="389" t="e">
        <f>MAX(0,'2023.06 to 2024.05 LC'!$F132-$Q$6)</f>
        <v>#VALUE!</v>
      </c>
    </row>
    <row r="127" spans="8:18">
      <c r="H127" s="2"/>
      <c r="R127" s="389" t="e">
        <f>MAX(0,'2023.06 to 2024.05 LC'!$F133-$Q$6)</f>
        <v>#VALUE!</v>
      </c>
    </row>
    <row r="128" spans="8:18">
      <c r="H128" s="2"/>
      <c r="Q128" s="102"/>
      <c r="R128" s="389" t="e">
        <f>MAX(0,'2023.06 to 2024.05 LC'!$F134-$Q$6)</f>
        <v>#VALUE!</v>
      </c>
    </row>
    <row r="129" spans="8:18">
      <c r="H129" s="2"/>
      <c r="R129" s="389" t="e">
        <f>MAX(0,'2023.06 to 2024.05 LC'!$F135-$Q$6)</f>
        <v>#VALUE!</v>
      </c>
    </row>
    <row r="130" spans="8:18">
      <c r="H130" s="2"/>
      <c r="R130" s="389" t="e">
        <f>MAX(0,'2023.06 to 2024.05 LC'!$F136-$Q$6)</f>
        <v>#VALUE!</v>
      </c>
    </row>
    <row r="131" spans="8:18">
      <c r="H131" s="2"/>
      <c r="Q131" s="102"/>
      <c r="R131" s="389" t="e">
        <f>MAX(0,'2023.06 to 2024.05 LC'!$F137-$Q$6)</f>
        <v>#VALUE!</v>
      </c>
    </row>
    <row r="132" spans="8:18">
      <c r="H132" s="2"/>
      <c r="R132" s="389" t="e">
        <f>MAX(0,'2023.06 to 2024.05 LC'!$F138-$Q$6)</f>
        <v>#VALUE!</v>
      </c>
    </row>
    <row r="133" spans="8:18">
      <c r="H133" s="2"/>
      <c r="R133" s="389" t="e">
        <f>MAX(0,'2023.06 to 2024.05 LC'!$F139-$Q$6)</f>
        <v>#VALUE!</v>
      </c>
    </row>
    <row r="134" spans="8:18">
      <c r="H134" s="2"/>
      <c r="Q134" s="102"/>
      <c r="R134" s="389" t="e">
        <f>MAX(0,'2023.06 to 2024.05 LC'!$F140-$Q$6)</f>
        <v>#VALUE!</v>
      </c>
    </row>
    <row r="135" spans="8:18">
      <c r="H135" s="2"/>
      <c r="R135" s="389" t="e">
        <f>MAX(0,'2023.06 to 2024.05 LC'!$F141-$Q$6)</f>
        <v>#VALUE!</v>
      </c>
    </row>
    <row r="136" spans="8:18">
      <c r="H136" s="2"/>
      <c r="R136" s="389" t="e">
        <f>MAX(0,'2023.06 to 2024.05 LC'!$F142-$Q$6)</f>
        <v>#VALUE!</v>
      </c>
    </row>
    <row r="137" spans="8:18">
      <c r="H137" s="2"/>
      <c r="Q137" s="102"/>
      <c r="R137" s="389" t="e">
        <f>MAX(0,'2023.06 to 2024.05 LC'!$F143-$Q$6)</f>
        <v>#VALUE!</v>
      </c>
    </row>
    <row r="138" spans="8:18">
      <c r="H138" s="2"/>
      <c r="R138" s="389" t="e">
        <f>MAX(0,'2023.06 to 2024.05 LC'!$F144-$Q$6)</f>
        <v>#VALUE!</v>
      </c>
    </row>
    <row r="139" spans="8:18">
      <c r="H139" s="2"/>
      <c r="R139" s="389" t="e">
        <f>MAX(0,'2023.06 to 2024.05 LC'!$F145-$Q$6)</f>
        <v>#VALUE!</v>
      </c>
    </row>
    <row r="140" spans="8:18">
      <c r="H140" s="2"/>
      <c r="Q140" s="102"/>
      <c r="R140" s="389" t="e">
        <f>MAX(0,'2023.06 to 2024.05 LC'!$F146-$Q$6)</f>
        <v>#VALUE!</v>
      </c>
    </row>
    <row r="141" spans="8:18">
      <c r="H141" s="2"/>
      <c r="R141" s="389" t="e">
        <f>MAX(0,'2023.06 to 2024.05 LC'!$F147-$Q$6)</f>
        <v>#VALUE!</v>
      </c>
    </row>
    <row r="142" spans="8:18">
      <c r="H142" s="2"/>
      <c r="R142" s="389" t="e">
        <f>MAX(0,'2023.06 to 2024.05 LC'!$F148-$Q$6)</f>
        <v>#VALUE!</v>
      </c>
    </row>
    <row r="143" spans="8:18">
      <c r="H143" s="2"/>
      <c r="Q143" s="102"/>
      <c r="R143" s="389" t="e">
        <f>MAX(0,'2023.06 to 2024.05 LC'!$F149-$Q$6)</f>
        <v>#VALUE!</v>
      </c>
    </row>
    <row r="144" spans="8:18">
      <c r="H144" s="2"/>
      <c r="R144" s="389" t="e">
        <f>MAX(0,'2023.06 to 2024.05 LC'!$F150-$Q$6)</f>
        <v>#VALUE!</v>
      </c>
    </row>
    <row r="145" spans="8:18">
      <c r="H145" s="2"/>
      <c r="R145" s="389" t="e">
        <f>MAX(0,'2023.06 to 2024.05 LC'!$F151-$Q$6)</f>
        <v>#VALUE!</v>
      </c>
    </row>
    <row r="146" spans="8:18">
      <c r="H146" s="2"/>
      <c r="Q146" s="102"/>
      <c r="R146" s="389" t="e">
        <f>MAX(0,'2023.06 to 2024.05 LC'!$F152-$Q$6)</f>
        <v>#VALUE!</v>
      </c>
    </row>
    <row r="147" spans="8:18">
      <c r="H147" s="2"/>
      <c r="R147" s="389" t="e">
        <f>MAX(0,'2023.06 to 2024.05 LC'!$F153-$Q$6)</f>
        <v>#VALUE!</v>
      </c>
    </row>
    <row r="148" spans="8:18">
      <c r="H148" s="2"/>
      <c r="R148" s="389" t="e">
        <f>MAX(0,'2023.06 to 2024.05 LC'!$F154-$Q$6)</f>
        <v>#VALUE!</v>
      </c>
    </row>
    <row r="149" spans="8:18">
      <c r="H149" s="2"/>
      <c r="Q149" s="102"/>
      <c r="R149" s="389" t="e">
        <f>MAX(0,'2023.06 to 2024.05 LC'!$F155-$Q$6)</f>
        <v>#VALUE!</v>
      </c>
    </row>
    <row r="150" spans="8:18">
      <c r="H150" s="2"/>
      <c r="R150" s="389" t="e">
        <f>MAX(0,'2023.06 to 2024.05 LC'!$F156-$Q$6)</f>
        <v>#VALUE!</v>
      </c>
    </row>
    <row r="151" spans="8:18">
      <c r="H151" s="2"/>
      <c r="R151" s="389" t="e">
        <f>MAX(0,'2023.06 to 2024.05 LC'!$F157-$Q$6)</f>
        <v>#VALUE!</v>
      </c>
    </row>
    <row r="152" spans="8:18">
      <c r="H152" s="2"/>
      <c r="Q152" s="102"/>
      <c r="R152" s="389" t="e">
        <f>MAX(0,'2023.06 to 2024.05 LC'!$F158-$Q$6)</f>
        <v>#VALUE!</v>
      </c>
    </row>
    <row r="153" spans="8:18">
      <c r="H153" s="2"/>
      <c r="R153" s="389" t="e">
        <f>MAX(0,'2023.06 to 2024.05 LC'!$F159-$Q$6)</f>
        <v>#VALUE!</v>
      </c>
    </row>
    <row r="154" spans="8:18">
      <c r="H154" s="2"/>
      <c r="R154" s="389" t="e">
        <f>MAX(0,'2023.06 to 2024.05 LC'!$F160-$Q$6)</f>
        <v>#VALUE!</v>
      </c>
    </row>
    <row r="155" spans="8:18">
      <c r="H155" s="2"/>
      <c r="Q155" s="102"/>
      <c r="R155" s="389" t="e">
        <f>MAX(0,'2023.06 to 2024.05 LC'!$F161-$Q$6)</f>
        <v>#VALUE!</v>
      </c>
    </row>
    <row r="156" spans="8:18">
      <c r="H156" s="2"/>
      <c r="R156" s="389" t="e">
        <f>MAX(0,'2023.06 to 2024.05 LC'!$F162-$Q$6)</f>
        <v>#VALUE!</v>
      </c>
    </row>
    <row r="157" spans="8:18">
      <c r="H157" s="2"/>
      <c r="R157" s="389" t="e">
        <f>MAX(0,'2023.06 to 2024.05 LC'!$F163-$Q$6)</f>
        <v>#VALUE!</v>
      </c>
    </row>
    <row r="158" spans="8:18">
      <c r="H158" s="2"/>
      <c r="Q158" s="102"/>
      <c r="R158" s="389" t="e">
        <f>MAX(0,'2023.06 to 2024.05 LC'!$F164-$Q$6)</f>
        <v>#VALUE!</v>
      </c>
    </row>
    <row r="159" spans="8:18">
      <c r="H159" s="2"/>
      <c r="R159" s="389" t="e">
        <f>MAX(0,'2023.06 to 2024.05 LC'!$F165-$Q$6)</f>
        <v>#VALUE!</v>
      </c>
    </row>
    <row r="160" spans="8:18">
      <c r="H160" s="2"/>
      <c r="R160" s="389" t="e">
        <f>MAX(0,'2023.06 to 2024.05 LC'!$F166-$Q$6)</f>
        <v>#VALUE!</v>
      </c>
    </row>
    <row r="161" spans="8:18">
      <c r="H161" s="2"/>
      <c r="Q161" s="102"/>
      <c r="R161" s="389" t="e">
        <f>MAX(0,'2023.06 to 2024.05 LC'!$F167-$Q$6)</f>
        <v>#VALUE!</v>
      </c>
    </row>
    <row r="162" spans="8:18">
      <c r="H162" s="2"/>
      <c r="R162" s="389" t="e">
        <f>MAX(0,'2023.06 to 2024.05 LC'!$F168-$Q$6)</f>
        <v>#VALUE!</v>
      </c>
    </row>
    <row r="163" spans="8:18">
      <c r="H163" s="2"/>
      <c r="R163" s="389" t="e">
        <f>MAX(0,'2023.06 to 2024.05 LC'!$F169-$Q$6)</f>
        <v>#VALUE!</v>
      </c>
    </row>
    <row r="164" spans="8:18">
      <c r="H164" s="2"/>
      <c r="Q164" s="102"/>
      <c r="R164" s="389" t="e">
        <f>MAX(0,'2023.06 to 2024.05 LC'!$F170-$Q$6)</f>
        <v>#VALUE!</v>
      </c>
    </row>
    <row r="165" spans="8:18">
      <c r="H165" s="2"/>
      <c r="R165" s="389" t="e">
        <f>MAX(0,'2023.06 to 2024.05 LC'!$F171-$Q$6)</f>
        <v>#VALUE!</v>
      </c>
    </row>
    <row r="166" spans="8:18">
      <c r="H166" s="2"/>
      <c r="R166" s="389" t="e">
        <f>MAX(0,'2023.06 to 2024.05 LC'!$F172-$Q$6)</f>
        <v>#VALUE!</v>
      </c>
    </row>
    <row r="167" spans="8:18">
      <c r="H167" s="2"/>
      <c r="Q167" s="102"/>
      <c r="R167" s="389" t="e">
        <f>MAX(0,'2023.06 to 2024.05 LC'!$F173-$Q$6)</f>
        <v>#VALUE!</v>
      </c>
    </row>
    <row r="168" spans="8:18">
      <c r="H168" s="2"/>
      <c r="R168" s="389" t="e">
        <f>MAX(0,'2023.06 to 2024.05 LC'!$F174-$Q$6)</f>
        <v>#VALUE!</v>
      </c>
    </row>
    <row r="169" spans="8:18">
      <c r="H169" s="2"/>
      <c r="R169" s="389" t="e">
        <f>MAX(0,'2023.06 to 2024.05 LC'!$F175-$Q$6)</f>
        <v>#VALUE!</v>
      </c>
    </row>
    <row r="170" spans="8:18">
      <c r="H170" s="2"/>
      <c r="Q170" s="102"/>
      <c r="R170" s="389" t="e">
        <f>MAX(0,'2023.06 to 2024.05 LC'!$F176-$Q$6)</f>
        <v>#VALUE!</v>
      </c>
    </row>
    <row r="171" spans="8:18">
      <c r="H171" s="2"/>
      <c r="R171" s="389" t="e">
        <f>MAX(0,'2023.06 to 2024.05 LC'!$F177-$Q$6)</f>
        <v>#VALUE!</v>
      </c>
    </row>
    <row r="172" spans="8:18">
      <c r="H172" s="2"/>
      <c r="R172" s="389" t="e">
        <f>MAX(0,'2023.06 to 2024.05 LC'!$F178-$Q$6)</f>
        <v>#VALUE!</v>
      </c>
    </row>
    <row r="173" spans="8:18">
      <c r="H173" s="2"/>
      <c r="Q173" s="102"/>
      <c r="R173" s="389" t="e">
        <f>MAX(0,'2023.06 to 2024.05 LC'!$F179-$Q$6)</f>
        <v>#VALUE!</v>
      </c>
    </row>
    <row r="174" spans="8:18">
      <c r="H174" s="2"/>
      <c r="R174" s="389" t="e">
        <f>MAX(0,'2023.06 to 2024.05 LC'!$F180-$Q$6)</f>
        <v>#VALUE!</v>
      </c>
    </row>
    <row r="175" spans="8:18">
      <c r="H175" s="2"/>
      <c r="R175" s="389" t="e">
        <f>MAX(0,'2023.06 to 2024.05 LC'!$F181-$Q$6)</f>
        <v>#VALUE!</v>
      </c>
    </row>
    <row r="176" spans="8:18">
      <c r="H176" s="2"/>
      <c r="Q176" s="102"/>
      <c r="R176" s="389" t="e">
        <f>MAX(0,'2023.06 to 2024.05 LC'!$F182-$Q$6)</f>
        <v>#VALUE!</v>
      </c>
    </row>
    <row r="177" spans="8:18">
      <c r="H177" s="2"/>
      <c r="R177" s="389" t="e">
        <f>MAX(0,'2023.06 to 2024.05 LC'!$F183-$Q$6)</f>
        <v>#VALUE!</v>
      </c>
    </row>
    <row r="178" spans="8:18">
      <c r="H178" s="2"/>
      <c r="R178" s="389" t="e">
        <f>MAX(0,'2023.06 to 2024.05 LC'!$F184-$Q$6)</f>
        <v>#VALUE!</v>
      </c>
    </row>
    <row r="179" spans="8:18">
      <c r="H179" s="2"/>
      <c r="Q179" s="102"/>
      <c r="R179" s="389" t="e">
        <f>MAX(0,'2023.06 to 2024.05 LC'!$F185-$Q$6)</f>
        <v>#VALUE!</v>
      </c>
    </row>
    <row r="180" spans="8:18">
      <c r="H180" s="2"/>
      <c r="R180" s="389" t="e">
        <f>MAX(0,'2023.06 to 2024.05 LC'!$F186-$Q$6)</f>
        <v>#VALUE!</v>
      </c>
    </row>
    <row r="181" spans="8:18">
      <c r="H181" s="2"/>
      <c r="R181" s="389" t="e">
        <f>MAX(0,'2023.06 to 2024.05 LC'!$F187-$Q$6)</f>
        <v>#VALUE!</v>
      </c>
    </row>
    <row r="182" spans="8:18">
      <c r="H182" s="2"/>
      <c r="Q182" s="102"/>
      <c r="R182" s="389" t="e">
        <f>MAX(0,'2023.06 to 2024.05 LC'!$F188-$Q$6)</f>
        <v>#VALUE!</v>
      </c>
    </row>
    <row r="183" spans="8:18">
      <c r="H183" s="2"/>
      <c r="R183" s="389" t="e">
        <f>MAX(0,'2023.06 to 2024.05 LC'!$F189-$Q$6)</f>
        <v>#VALUE!</v>
      </c>
    </row>
    <row r="184" spans="8:18">
      <c r="H184" s="2"/>
      <c r="R184" s="389" t="e">
        <f>MAX(0,'2023.06 to 2024.05 LC'!$F190-$Q$6)</f>
        <v>#VALUE!</v>
      </c>
    </row>
    <row r="185" spans="8:18">
      <c r="H185" s="2"/>
      <c r="Q185" s="102"/>
      <c r="R185" s="389" t="e">
        <f>MAX(0,'2023.06 to 2024.05 LC'!$F191-$Q$6)</f>
        <v>#VALUE!</v>
      </c>
    </row>
    <row r="186" spans="8:18">
      <c r="H186" s="2"/>
      <c r="R186" s="389" t="e">
        <f>MAX(0,'2023.06 to 2024.05 LC'!$F192-$Q$6)</f>
        <v>#VALUE!</v>
      </c>
    </row>
    <row r="187" spans="8:18">
      <c r="H187" s="2"/>
      <c r="R187" s="389" t="e">
        <f>MAX(0,'2023.06 to 2024.05 LC'!$F193-$Q$6)</f>
        <v>#VALUE!</v>
      </c>
    </row>
    <row r="188" spans="8:18">
      <c r="H188" s="2"/>
      <c r="Q188" s="102"/>
      <c r="R188" s="389" t="e">
        <f>MAX(0,'2023.06 to 2024.05 LC'!$F194-$Q$6)</f>
        <v>#VALUE!</v>
      </c>
    </row>
    <row r="189" spans="8:18">
      <c r="H189" s="2"/>
      <c r="R189" s="389" t="e">
        <f>MAX(0,'2023.06 to 2024.05 LC'!$F195-$Q$6)</f>
        <v>#VALUE!</v>
      </c>
    </row>
    <row r="190" spans="8:18">
      <c r="H190" s="2"/>
      <c r="R190" s="389" t="e">
        <f>MAX(0,'2023.06 to 2024.05 LC'!$F196-$Q$6)</f>
        <v>#VALUE!</v>
      </c>
    </row>
    <row r="191" spans="8:18">
      <c r="H191" s="2"/>
      <c r="Q191" s="102"/>
      <c r="R191" s="389" t="e">
        <f>MAX(0,'2023.06 to 2024.05 LC'!$F197-$Q$6)</f>
        <v>#VALUE!</v>
      </c>
    </row>
    <row r="192" spans="8:18">
      <c r="H192" s="2"/>
      <c r="R192" s="389" t="e">
        <f>MAX(0,'2023.06 to 2024.05 LC'!$F198-$Q$6)</f>
        <v>#VALUE!</v>
      </c>
    </row>
    <row r="193" spans="8:18">
      <c r="H193" s="2"/>
      <c r="R193" s="389" t="e">
        <f>MAX(0,'2023.06 to 2024.05 LC'!$F199-$Q$6)</f>
        <v>#VALUE!</v>
      </c>
    </row>
    <row r="194" spans="8:18">
      <c r="H194" s="2"/>
      <c r="Q194" s="102"/>
      <c r="R194" s="389" t="e">
        <f>MAX(0,'2023.06 to 2024.05 LC'!$F200-$Q$6)</f>
        <v>#VALUE!</v>
      </c>
    </row>
    <row r="195" spans="8:18">
      <c r="H195" s="2"/>
      <c r="R195" s="389" t="e">
        <f>MAX(0,'2023.06 to 2024.05 LC'!$F201-$Q$6)</f>
        <v>#VALUE!</v>
      </c>
    </row>
    <row r="196" spans="8:18">
      <c r="H196" s="2"/>
      <c r="R196" s="389" t="e">
        <f>MAX(0,'2023.06 to 2024.05 LC'!$F202-$Q$6)</f>
        <v>#VALUE!</v>
      </c>
    </row>
    <row r="197" spans="8:18">
      <c r="H197" s="2"/>
      <c r="Q197" s="102"/>
      <c r="R197" s="389" t="e">
        <f>MAX(0,'2023.06 to 2024.05 LC'!$F203-$Q$6)</f>
        <v>#VALUE!</v>
      </c>
    </row>
    <row r="198" spans="8:18">
      <c r="H198" s="2"/>
      <c r="R198" s="389" t="e">
        <f>MAX(0,'2023.06 to 2024.05 LC'!$F204-$Q$6)</f>
        <v>#VALUE!</v>
      </c>
    </row>
    <row r="199" spans="8:18">
      <c r="H199" s="2"/>
      <c r="R199" s="389" t="e">
        <f>MAX(0,'2023.06 to 2024.05 LC'!$F205-$Q$6)</f>
        <v>#VALUE!</v>
      </c>
    </row>
    <row r="200" spans="8:18">
      <c r="H200" s="2"/>
      <c r="Q200" s="102"/>
      <c r="R200" s="389" t="e">
        <f>MAX(0,'2023.06 to 2024.05 LC'!$F206-$Q$6)</f>
        <v>#VALUE!</v>
      </c>
    </row>
    <row r="201" spans="8:18">
      <c r="H201" s="2"/>
      <c r="R201" s="389" t="e">
        <f>MAX(0,'2023.06 to 2024.05 LC'!$F207-$Q$6)</f>
        <v>#VALUE!</v>
      </c>
    </row>
    <row r="202" spans="8:18">
      <c r="H202" s="2"/>
      <c r="R202" s="389">
        <f>MAX(0,'2023.06 to 2024.05 LC'!$F208-$Q$6)</f>
        <v>0</v>
      </c>
    </row>
    <row r="203" spans="8:18">
      <c r="H203" s="2"/>
      <c r="Q203" s="102"/>
      <c r="R203" s="389">
        <f>MAX(0,'2023.06 to 2024.05 LC'!$F209-$Q$6)</f>
        <v>0</v>
      </c>
    </row>
    <row r="204" spans="8:18">
      <c r="H204" s="2"/>
      <c r="R204" s="389">
        <f>MAX(0,'2023.06 to 2024.05 LC'!$F210-$Q$6)</f>
        <v>0</v>
      </c>
    </row>
    <row r="205" spans="8:18">
      <c r="H205" s="2"/>
      <c r="R205" s="389">
        <f>MAX(0,'2023.06 to 2024.05 LC'!$F211-$Q$6)</f>
        <v>0</v>
      </c>
    </row>
    <row r="206" spans="8:18">
      <c r="H206" s="2"/>
      <c r="Q206" s="102"/>
      <c r="R206" s="389">
        <f>MAX(0,'2023.06 to 2024.05 LC'!$F212-$Q$6)</f>
        <v>0</v>
      </c>
    </row>
    <row r="207" spans="8:18">
      <c r="H207" s="2"/>
      <c r="R207" s="389">
        <f>MAX(0,'2023.06 to 2024.05 LC'!$F213-$Q$6)</f>
        <v>0</v>
      </c>
    </row>
    <row r="208" spans="8:18">
      <c r="H208" s="2"/>
      <c r="R208" s="389">
        <f>MAX(0,'2023.06 to 2024.05 LC'!$F214-$Q$6)</f>
        <v>0</v>
      </c>
    </row>
    <row r="209" spans="8:18">
      <c r="H209" s="2"/>
      <c r="Q209" s="102"/>
      <c r="R209" s="389">
        <f>MAX(0,'2023.06 to 2024.05 LC'!$F215-$Q$6)</f>
        <v>0</v>
      </c>
    </row>
    <row r="210" spans="8:18">
      <c r="H210" s="2"/>
      <c r="R210" s="389">
        <f>MAX(0,'2023.06 to 2024.05 LC'!$F216-$Q$6)</f>
        <v>0</v>
      </c>
    </row>
    <row r="211" spans="8:18">
      <c r="H211" s="2"/>
      <c r="R211" s="389">
        <f>MAX(0,'2023.06 to 2024.05 LC'!$F217-$Q$6)</f>
        <v>0</v>
      </c>
    </row>
    <row r="212" spans="8:18">
      <c r="H212" s="2"/>
      <c r="Q212" s="102"/>
      <c r="R212" s="389">
        <f>MAX(0,'2023.06 to 2024.05 LC'!$F218-$Q$6)</f>
        <v>0</v>
      </c>
    </row>
    <row r="213" spans="8:18">
      <c r="H213" s="2"/>
      <c r="R213" s="389">
        <f>MAX(0,'2023.06 to 2024.05 LC'!$F219-$Q$6)</f>
        <v>0</v>
      </c>
    </row>
    <row r="214" spans="8:18">
      <c r="H214" s="2"/>
      <c r="R214" s="389">
        <f>MAX(0,'2023.06 to 2024.05 LC'!$F220-$Q$6)</f>
        <v>0</v>
      </c>
    </row>
    <row r="215" spans="8:18">
      <c r="H215" s="2"/>
      <c r="Q215" s="102"/>
      <c r="R215" s="389">
        <f>MAX(0,'2023.06 to 2024.05 LC'!$F221-$Q$6)</f>
        <v>0</v>
      </c>
    </row>
    <row r="216" spans="8:18">
      <c r="H216" s="2"/>
      <c r="R216" s="389">
        <f>MAX(0,'2023.06 to 2024.05 LC'!$F222-$Q$6)</f>
        <v>0</v>
      </c>
    </row>
    <row r="217" spans="8:18">
      <c r="H217" s="2"/>
      <c r="R217" s="389">
        <f>MAX(0,'2023.06 to 2024.05 LC'!$F223-$Q$6)</f>
        <v>0</v>
      </c>
    </row>
    <row r="218" spans="8:18">
      <c r="H218" s="2"/>
      <c r="Q218" s="102"/>
      <c r="R218" s="389">
        <f>MAX(0,'2023.06 to 2024.05 LC'!$F224-$Q$6)</f>
        <v>0</v>
      </c>
    </row>
    <row r="219" spans="8:18">
      <c r="H219" s="2"/>
      <c r="R219" s="389">
        <f>MAX(0,'2023.06 to 2024.05 LC'!$F225-$Q$6)</f>
        <v>0</v>
      </c>
    </row>
    <row r="220" spans="8:18">
      <c r="H220" s="2"/>
      <c r="R220" s="389">
        <f>MAX(0,'2023.06 to 2024.05 LC'!$F226-$Q$6)</f>
        <v>0</v>
      </c>
    </row>
    <row r="221" spans="8:18">
      <c r="H221" s="2"/>
      <c r="Q221" s="102"/>
      <c r="R221" s="389">
        <f>MAX(0,'2023.06 to 2024.05 LC'!$F227-$Q$6)</f>
        <v>0</v>
      </c>
    </row>
    <row r="222" spans="8:18">
      <c r="H222" s="2"/>
      <c r="R222" s="389">
        <f>MAX(0,'2023.06 to 2024.05 LC'!$F228-$Q$6)</f>
        <v>0</v>
      </c>
    </row>
    <row r="223" spans="8:18">
      <c r="H223" s="2"/>
      <c r="R223" s="389">
        <f>MAX(0,'2023.06 to 2024.05 LC'!$F229-$Q$6)</f>
        <v>0</v>
      </c>
    </row>
    <row r="224" spans="8:18">
      <c r="H224" s="2"/>
      <c r="Q224" s="102"/>
      <c r="R224" s="389">
        <f>MAX(0,'2023.06 to 2024.05 LC'!$F230-$Q$6)</f>
        <v>0</v>
      </c>
    </row>
    <row r="225" spans="8:18" ht="15.75" thickBot="1">
      <c r="H225" s="2"/>
      <c r="R225" s="390">
        <f>MAX(0,'2023.06 to 2024.05 LC'!$F231-$Q$6)</f>
        <v>0</v>
      </c>
    </row>
    <row r="226" spans="8:18">
      <c r="H226" s="2"/>
      <c r="Q226" s="55" t="s">
        <v>60</v>
      </c>
      <c r="R226" s="64" t="e">
        <f>(SUM($R$6:$R$225)-$Q$7)</f>
        <v>#VALUE!</v>
      </c>
    </row>
    <row r="227" spans="8:18">
      <c r="H227" s="2"/>
      <c r="Q227" s="55" t="s">
        <v>61</v>
      </c>
      <c r="R227" s="55">
        <f>COUNTIF($R$6:$R$225,"&gt;0")</f>
        <v>0</v>
      </c>
    </row>
    <row r="228" spans="8:18">
      <c r="H228" s="2"/>
    </row>
    <row r="229" spans="8:18">
      <c r="H229" s="2"/>
    </row>
    <row r="230" spans="8:18">
      <c r="H230" s="2"/>
    </row>
    <row r="231" spans="8:18">
      <c r="H231" s="2"/>
    </row>
    <row r="232" spans="8:18">
      <c r="H232" s="2"/>
    </row>
    <row r="233" spans="8:18">
      <c r="H233" s="2"/>
    </row>
    <row r="234" spans="8:18">
      <c r="H234" s="2"/>
    </row>
    <row r="235" spans="8:18">
      <c r="H235" s="2"/>
    </row>
    <row r="236" spans="8:18">
      <c r="H236" s="2"/>
    </row>
    <row r="237" spans="8:18">
      <c r="H237" s="2"/>
    </row>
    <row r="238" spans="8:18">
      <c r="H238" s="2"/>
    </row>
    <row r="239" spans="8:18">
      <c r="H239" s="2"/>
    </row>
    <row r="240" spans="8:18">
      <c r="H240" s="2"/>
    </row>
    <row r="241" spans="8:8">
      <c r="H241" s="2"/>
    </row>
    <row r="242" spans="8:8">
      <c r="H242" s="2"/>
    </row>
    <row r="243" spans="8:8">
      <c r="H243" s="2"/>
    </row>
    <row r="244" spans="8:8">
      <c r="H244" s="2"/>
    </row>
    <row r="245" spans="8:8">
      <c r="H245" s="2"/>
    </row>
    <row r="246" spans="8:8">
      <c r="H246" s="2"/>
    </row>
    <row r="247" spans="8:8">
      <c r="H247" s="2"/>
    </row>
    <row r="248" spans="8:8">
      <c r="H248" s="2"/>
    </row>
    <row r="249" spans="8:8">
      <c r="H249" s="2"/>
    </row>
    <row r="250" spans="8:8">
      <c r="H250" s="2"/>
    </row>
    <row r="251" spans="8:8">
      <c r="H251" s="2"/>
    </row>
    <row r="252" spans="8:8">
      <c r="H252" s="2"/>
    </row>
    <row r="253" spans="8:8">
      <c r="H253" s="2"/>
    </row>
    <row r="254" spans="8:8">
      <c r="H254" s="2"/>
    </row>
    <row r="255" spans="8:8">
      <c r="H255" s="2"/>
    </row>
    <row r="256" spans="8:8">
      <c r="H256" s="2"/>
    </row>
    <row r="257" spans="8:8">
      <c r="H257" s="2"/>
    </row>
    <row r="258" spans="8:8">
      <c r="H258" s="2"/>
    </row>
    <row r="259" spans="8:8">
      <c r="H259" s="2"/>
    </row>
    <row r="260" spans="8:8">
      <c r="H260" s="2"/>
    </row>
    <row r="261" spans="8:8">
      <c r="H261" s="2"/>
    </row>
    <row r="262" spans="8:8">
      <c r="H262" s="2"/>
    </row>
    <row r="263" spans="8:8">
      <c r="H263" s="2"/>
    </row>
    <row r="264" spans="8:8">
      <c r="H264" s="2"/>
    </row>
    <row r="265" spans="8:8">
      <c r="H265" s="2"/>
    </row>
    <row r="266" spans="8:8">
      <c r="H266" s="2"/>
    </row>
    <row r="267" spans="8:8">
      <c r="H267" s="2"/>
    </row>
    <row r="268" spans="8:8">
      <c r="H268" s="2"/>
    </row>
    <row r="269" spans="8:8">
      <c r="H269" s="2"/>
    </row>
    <row r="270" spans="8:8">
      <c r="H270" s="2"/>
    </row>
    <row r="271" spans="8:8">
      <c r="H271" s="2"/>
    </row>
    <row r="272" spans="8:8">
      <c r="H272" s="2"/>
    </row>
    <row r="273" spans="8:8">
      <c r="H273" s="2"/>
    </row>
    <row r="274" spans="8:8">
      <c r="H274" s="2"/>
    </row>
    <row r="275" spans="8:8">
      <c r="H275" s="2"/>
    </row>
    <row r="276" spans="8:8">
      <c r="H276" s="2"/>
    </row>
    <row r="277" spans="8:8">
      <c r="H277" s="2"/>
    </row>
    <row r="278" spans="8:8">
      <c r="H278" s="2"/>
    </row>
    <row r="279" spans="8:8">
      <c r="H279" s="2"/>
    </row>
    <row r="280" spans="8:8">
      <c r="H280" s="2"/>
    </row>
    <row r="281" spans="8:8">
      <c r="H281" s="2"/>
    </row>
    <row r="282" spans="8:8">
      <c r="H282" s="2"/>
    </row>
    <row r="283" spans="8:8">
      <c r="H283" s="2"/>
    </row>
    <row r="284" spans="8:8">
      <c r="H284" s="2"/>
    </row>
    <row r="285" spans="8:8">
      <c r="H285" s="2"/>
    </row>
    <row r="286" spans="8:8">
      <c r="H286" s="2"/>
    </row>
    <row r="287" spans="8:8">
      <c r="H287" s="2"/>
    </row>
    <row r="288" spans="8:8">
      <c r="H288" s="2"/>
    </row>
    <row r="289" spans="8:8">
      <c r="H289" s="2"/>
    </row>
    <row r="290" spans="8:8">
      <c r="H290" s="2"/>
    </row>
    <row r="291" spans="8:8">
      <c r="H291" s="2"/>
    </row>
    <row r="292" spans="8:8">
      <c r="H292" s="2"/>
    </row>
    <row r="293" spans="8:8">
      <c r="H293" s="2"/>
    </row>
    <row r="294" spans="8:8">
      <c r="H294" s="2"/>
    </row>
    <row r="295" spans="8:8">
      <c r="H295" s="2"/>
    </row>
    <row r="296" spans="8:8">
      <c r="H296" s="2"/>
    </row>
    <row r="297" spans="8:8">
      <c r="H297" s="2"/>
    </row>
    <row r="298" spans="8:8">
      <c r="H298" s="2"/>
    </row>
    <row r="299" spans="8:8">
      <c r="H299" s="2"/>
    </row>
    <row r="300" spans="8:8">
      <c r="H300" s="2"/>
    </row>
    <row r="301" spans="8:8">
      <c r="H301" s="2"/>
    </row>
    <row r="302" spans="8:8">
      <c r="H302" s="2"/>
    </row>
    <row r="303" spans="8:8">
      <c r="H303" s="2"/>
    </row>
    <row r="304" spans="8:8">
      <c r="H304" s="2"/>
    </row>
    <row r="305" spans="8:8">
      <c r="H305" s="2"/>
    </row>
    <row r="306" spans="8:8">
      <c r="H306" s="2"/>
    </row>
    <row r="307" spans="8:8">
      <c r="H307" s="2"/>
    </row>
    <row r="308" spans="8:8">
      <c r="H308" s="2"/>
    </row>
    <row r="309" spans="8:8">
      <c r="H309" s="2"/>
    </row>
    <row r="310" spans="8:8">
      <c r="H310" s="2"/>
    </row>
    <row r="311" spans="8:8">
      <c r="H311" s="2"/>
    </row>
    <row r="312" spans="8:8">
      <c r="H312" s="2"/>
    </row>
    <row r="313" spans="8:8">
      <c r="H313" s="2"/>
    </row>
    <row r="314" spans="8:8">
      <c r="H314" s="2"/>
    </row>
    <row r="315" spans="8:8">
      <c r="H315" s="2"/>
    </row>
    <row r="316" spans="8:8">
      <c r="H316" s="2"/>
    </row>
    <row r="317" spans="8:8">
      <c r="H317" s="2"/>
    </row>
    <row r="318" spans="8:8">
      <c r="H318" s="2"/>
    </row>
    <row r="319" spans="8:8">
      <c r="H319" s="2"/>
    </row>
    <row r="320" spans="8:8">
      <c r="H320" s="2"/>
    </row>
    <row r="321" spans="8:8">
      <c r="H321" s="2"/>
    </row>
    <row r="322" spans="8:8">
      <c r="H322" s="2"/>
    </row>
    <row r="323" spans="8:8">
      <c r="H323" s="2"/>
    </row>
    <row r="324" spans="8:8">
      <c r="H324" s="2"/>
    </row>
    <row r="325" spans="8:8">
      <c r="H325" s="2"/>
    </row>
    <row r="326" spans="8:8">
      <c r="H326" s="2"/>
    </row>
    <row r="327" spans="8:8">
      <c r="H327" s="2"/>
    </row>
    <row r="328" spans="8:8">
      <c r="H328" s="2"/>
    </row>
    <row r="329" spans="8:8">
      <c r="H329" s="2"/>
    </row>
    <row r="330" spans="8:8">
      <c r="H330" s="2"/>
    </row>
    <row r="331" spans="8:8">
      <c r="H331" s="2"/>
    </row>
    <row r="332" spans="8:8">
      <c r="H332" s="2"/>
    </row>
    <row r="333" spans="8:8">
      <c r="H333" s="2"/>
    </row>
    <row r="334" spans="8:8">
      <c r="H334" s="2"/>
    </row>
    <row r="335" spans="8:8">
      <c r="H335" s="2"/>
    </row>
    <row r="336" spans="8:8">
      <c r="H336" s="2"/>
    </row>
    <row r="337" spans="8:8">
      <c r="H337" s="2"/>
    </row>
    <row r="338" spans="8:8">
      <c r="H338" s="2"/>
    </row>
    <row r="339" spans="8:8">
      <c r="H339" s="2"/>
    </row>
    <row r="340" spans="8:8">
      <c r="H340" s="2"/>
    </row>
    <row r="341" spans="8:8">
      <c r="H341" s="2"/>
    </row>
    <row r="342" spans="8:8">
      <c r="H342" s="2"/>
    </row>
    <row r="343" spans="8:8">
      <c r="H343" s="2"/>
    </row>
    <row r="344" spans="8:8">
      <c r="H344" s="2"/>
    </row>
    <row r="345" spans="8:8">
      <c r="H345" s="2"/>
    </row>
    <row r="346" spans="8:8">
      <c r="H346" s="2"/>
    </row>
    <row r="347" spans="8:8">
      <c r="H347" s="2"/>
    </row>
    <row r="348" spans="8:8">
      <c r="H348" s="2"/>
    </row>
    <row r="349" spans="8:8">
      <c r="H349" s="2"/>
    </row>
    <row r="350" spans="8:8">
      <c r="H350" s="2"/>
    </row>
    <row r="351" spans="8:8">
      <c r="H351" s="2"/>
    </row>
    <row r="352" spans="8:8">
      <c r="H352" s="2"/>
    </row>
    <row r="353" spans="8:8">
      <c r="H353" s="2"/>
    </row>
    <row r="354" spans="8:8">
      <c r="H354" s="2"/>
    </row>
    <row r="355" spans="8:8">
      <c r="H355" s="2"/>
    </row>
    <row r="356" spans="8:8">
      <c r="H356" s="2"/>
    </row>
    <row r="357" spans="8:8">
      <c r="H357" s="2"/>
    </row>
    <row r="358" spans="8:8">
      <c r="H358" s="2"/>
    </row>
    <row r="359" spans="8:8">
      <c r="H359" s="2"/>
    </row>
    <row r="360" spans="8:8">
      <c r="H360" s="2"/>
    </row>
    <row r="361" spans="8:8">
      <c r="H361" s="2"/>
    </row>
    <row r="362" spans="8:8">
      <c r="H362" s="2"/>
    </row>
    <row r="363" spans="8:8">
      <c r="H363" s="2"/>
    </row>
    <row r="364" spans="8:8">
      <c r="H364" s="2"/>
    </row>
    <row r="365" spans="8:8">
      <c r="H365" s="2"/>
    </row>
    <row r="366" spans="8:8">
      <c r="H366" s="2"/>
    </row>
    <row r="367" spans="8:8">
      <c r="H367" s="2"/>
    </row>
    <row r="368" spans="8:8">
      <c r="H368" s="2"/>
    </row>
    <row r="369" spans="8:8">
      <c r="H369" s="2"/>
    </row>
    <row r="370" spans="8:8">
      <c r="H370" s="2"/>
    </row>
    <row r="371" spans="8:8">
      <c r="H371" s="2"/>
    </row>
    <row r="372" spans="8:8">
      <c r="H372" s="2"/>
    </row>
    <row r="373" spans="8:8">
      <c r="H373" s="2"/>
    </row>
    <row r="374" spans="8:8">
      <c r="H374" s="2"/>
    </row>
    <row r="375" spans="8:8">
      <c r="H375" s="2"/>
    </row>
    <row r="376" spans="8:8">
      <c r="H376" s="2"/>
    </row>
    <row r="377" spans="8:8">
      <c r="H377" s="2"/>
    </row>
    <row r="378" spans="8:8">
      <c r="H378" s="2"/>
    </row>
    <row r="379" spans="8:8">
      <c r="H379" s="2"/>
    </row>
    <row r="380" spans="8:8">
      <c r="H380" s="2"/>
    </row>
    <row r="381" spans="8:8">
      <c r="H381" s="2"/>
    </row>
    <row r="382" spans="8:8">
      <c r="H382" s="2"/>
    </row>
    <row r="383" spans="8:8">
      <c r="H383" s="2"/>
    </row>
    <row r="384" spans="8:8">
      <c r="H384" s="2"/>
    </row>
    <row r="385" spans="8:8">
      <c r="H385" s="2"/>
    </row>
    <row r="386" spans="8:8">
      <c r="H386" s="2"/>
    </row>
    <row r="387" spans="8:8">
      <c r="H387" s="2"/>
    </row>
    <row r="388" spans="8:8">
      <c r="H388" s="2"/>
    </row>
    <row r="389" spans="8:8">
      <c r="H389" s="2"/>
    </row>
    <row r="390" spans="8:8">
      <c r="H390" s="2"/>
    </row>
    <row r="391" spans="8:8">
      <c r="H391" s="2"/>
    </row>
    <row r="392" spans="8:8">
      <c r="H392" s="2"/>
    </row>
    <row r="393" spans="8:8">
      <c r="H393" s="2"/>
    </row>
    <row r="394" spans="8:8">
      <c r="H394" s="2"/>
    </row>
    <row r="395" spans="8:8">
      <c r="H395" s="2"/>
    </row>
    <row r="396" spans="8:8">
      <c r="H396" s="2"/>
    </row>
    <row r="397" spans="8:8">
      <c r="H397" s="2"/>
    </row>
    <row r="398" spans="8:8">
      <c r="H398" s="2"/>
    </row>
    <row r="399" spans="8:8">
      <c r="H399" s="2"/>
    </row>
    <row r="400" spans="8:8">
      <c r="H400" s="2"/>
    </row>
    <row r="401" spans="8:8">
      <c r="H401" s="2"/>
    </row>
    <row r="402" spans="8:8">
      <c r="H402" s="2"/>
    </row>
    <row r="403" spans="8:8">
      <c r="H403" s="2"/>
    </row>
    <row r="404" spans="8:8">
      <c r="H404" s="2"/>
    </row>
    <row r="405" spans="8:8">
      <c r="H405" s="2"/>
    </row>
    <row r="406" spans="8:8">
      <c r="H406" s="2"/>
    </row>
    <row r="407" spans="8:8">
      <c r="H407" s="2"/>
    </row>
    <row r="408" spans="8:8">
      <c r="H408" s="2"/>
    </row>
    <row r="409" spans="8:8">
      <c r="H409" s="2"/>
    </row>
    <row r="410" spans="8:8">
      <c r="H410" s="2"/>
    </row>
    <row r="411" spans="8:8">
      <c r="H411" s="2"/>
    </row>
    <row r="412" spans="8:8">
      <c r="H412" s="2"/>
    </row>
    <row r="413" spans="8:8">
      <c r="H413" s="2"/>
    </row>
    <row r="414" spans="8:8">
      <c r="H414" s="2"/>
    </row>
    <row r="415" spans="8:8">
      <c r="H415" s="2"/>
    </row>
    <row r="416" spans="8:8">
      <c r="H416" s="2"/>
    </row>
    <row r="417" spans="8:8">
      <c r="H417" s="2"/>
    </row>
    <row r="418" spans="8:8">
      <c r="H418" s="2"/>
    </row>
    <row r="419" spans="8:8">
      <c r="H419" s="2"/>
    </row>
    <row r="420" spans="8:8">
      <c r="H420" s="2"/>
    </row>
    <row r="421" spans="8:8">
      <c r="H421" s="2"/>
    </row>
    <row r="422" spans="8:8">
      <c r="H422" s="2"/>
    </row>
    <row r="423" spans="8:8">
      <c r="H423" s="2"/>
    </row>
    <row r="424" spans="8:8">
      <c r="H424" s="2"/>
    </row>
    <row r="425" spans="8:8">
      <c r="H425" s="2"/>
    </row>
    <row r="426" spans="8:8">
      <c r="H426" s="2"/>
    </row>
    <row r="427" spans="8:8">
      <c r="H427" s="2"/>
    </row>
    <row r="428" spans="8:8">
      <c r="H428" s="2"/>
    </row>
    <row r="429" spans="8:8">
      <c r="H429" s="2"/>
    </row>
    <row r="430" spans="8:8">
      <c r="H430" s="2"/>
    </row>
    <row r="431" spans="8:8">
      <c r="H431" s="2"/>
    </row>
    <row r="432" spans="8:8">
      <c r="H432" s="2"/>
    </row>
    <row r="433" spans="8:8">
      <c r="H433" s="2"/>
    </row>
    <row r="434" spans="8:8">
      <c r="H434" s="2"/>
    </row>
    <row r="435" spans="8:8">
      <c r="H435" s="2"/>
    </row>
    <row r="436" spans="8:8">
      <c r="H436" s="2"/>
    </row>
    <row r="437" spans="8:8">
      <c r="H437" s="2"/>
    </row>
    <row r="438" spans="8:8">
      <c r="H438" s="2"/>
    </row>
    <row r="439" spans="8:8">
      <c r="H439" s="2"/>
    </row>
    <row r="440" spans="8:8">
      <c r="H440" s="2"/>
    </row>
    <row r="441" spans="8:8">
      <c r="H441" s="2"/>
    </row>
    <row r="442" spans="8:8">
      <c r="H442" s="2"/>
    </row>
    <row r="443" spans="8:8">
      <c r="H443" s="2"/>
    </row>
    <row r="444" spans="8:8">
      <c r="H444" s="2"/>
    </row>
    <row r="445" spans="8:8">
      <c r="H445" s="2"/>
    </row>
    <row r="446" spans="8:8">
      <c r="H446" s="2"/>
    </row>
    <row r="447" spans="8:8">
      <c r="H447" s="2"/>
    </row>
    <row r="448" spans="8:8">
      <c r="H448" s="2"/>
    </row>
    <row r="449" spans="8:8">
      <c r="H449" s="2"/>
    </row>
    <row r="450" spans="8:8">
      <c r="H450" s="2"/>
    </row>
    <row r="451" spans="8:8">
      <c r="H451" s="2"/>
    </row>
    <row r="452" spans="8:8">
      <c r="H452" s="2"/>
    </row>
    <row r="453" spans="8:8">
      <c r="H453" s="2"/>
    </row>
    <row r="454" spans="8:8">
      <c r="H454" s="2"/>
    </row>
    <row r="455" spans="8:8">
      <c r="H455" s="2"/>
    </row>
    <row r="456" spans="8:8">
      <c r="H456" s="2"/>
    </row>
    <row r="457" spans="8:8">
      <c r="H457" s="2"/>
    </row>
    <row r="458" spans="8:8">
      <c r="H458" s="2"/>
    </row>
    <row r="459" spans="8:8">
      <c r="H459" s="2"/>
    </row>
    <row r="460" spans="8:8">
      <c r="H460" s="2"/>
    </row>
    <row r="461" spans="8:8">
      <c r="H461" s="2"/>
    </row>
    <row r="462" spans="8:8">
      <c r="H462" s="2"/>
    </row>
    <row r="463" spans="8:8">
      <c r="H463" s="2"/>
    </row>
    <row r="464" spans="8:8">
      <c r="H464" s="2"/>
    </row>
    <row r="465" spans="8:8">
      <c r="H465" s="2"/>
    </row>
    <row r="466" spans="8:8">
      <c r="H466" s="2"/>
    </row>
    <row r="467" spans="8:8">
      <c r="H467" s="2"/>
    </row>
    <row r="468" spans="8:8">
      <c r="H468" s="2"/>
    </row>
    <row r="469" spans="8:8">
      <c r="H469" s="2"/>
    </row>
    <row r="470" spans="8:8">
      <c r="H470" s="2"/>
    </row>
    <row r="471" spans="8:8">
      <c r="H471" s="2"/>
    </row>
    <row r="472" spans="8:8">
      <c r="H472" s="2"/>
    </row>
    <row r="473" spans="8:8">
      <c r="H473" s="2"/>
    </row>
    <row r="474" spans="8:8">
      <c r="H474" s="2"/>
    </row>
    <row r="475" spans="8:8">
      <c r="H475" s="2"/>
    </row>
    <row r="476" spans="8:8">
      <c r="H476" s="2"/>
    </row>
    <row r="477" spans="8:8">
      <c r="H477" s="2"/>
    </row>
    <row r="478" spans="8:8">
      <c r="H478" s="2"/>
    </row>
    <row r="479" spans="8:8">
      <c r="H479" s="2"/>
    </row>
    <row r="480" spans="8:8">
      <c r="H480" s="2"/>
    </row>
    <row r="481" spans="8:8">
      <c r="H481" s="2"/>
    </row>
    <row r="482" spans="8:8">
      <c r="H482" s="2"/>
    </row>
    <row r="483" spans="8:8">
      <c r="H483" s="2"/>
    </row>
    <row r="484" spans="8:8">
      <c r="H484" s="2"/>
    </row>
    <row r="485" spans="8:8">
      <c r="H485" s="2"/>
    </row>
    <row r="486" spans="8:8">
      <c r="H486" s="2"/>
    </row>
    <row r="487" spans="8:8">
      <c r="H487" s="2"/>
    </row>
    <row r="488" spans="8:8">
      <c r="H488" s="2"/>
    </row>
    <row r="489" spans="8:8">
      <c r="H489" s="2"/>
    </row>
    <row r="490" spans="8:8">
      <c r="H490" s="2"/>
    </row>
    <row r="491" spans="8:8">
      <c r="H491" s="2"/>
    </row>
    <row r="492" spans="8:8">
      <c r="H492" s="2"/>
    </row>
    <row r="493" spans="8:8">
      <c r="H493" s="2"/>
    </row>
    <row r="494" spans="8:8">
      <c r="H494" s="2"/>
    </row>
    <row r="495" spans="8:8">
      <c r="H495" s="2"/>
    </row>
    <row r="496" spans="8:8">
      <c r="H496" s="2"/>
    </row>
    <row r="497" spans="8:8">
      <c r="H497" s="2"/>
    </row>
    <row r="498" spans="8:8">
      <c r="H498" s="2"/>
    </row>
    <row r="499" spans="8:8">
      <c r="H499" s="2"/>
    </row>
    <row r="500" spans="8:8">
      <c r="H500" s="2"/>
    </row>
    <row r="501" spans="8:8">
      <c r="H501" s="2"/>
    </row>
    <row r="502" spans="8:8">
      <c r="H502" s="2"/>
    </row>
    <row r="503" spans="8:8">
      <c r="H503" s="2"/>
    </row>
    <row r="504" spans="8:8">
      <c r="H504" s="2"/>
    </row>
    <row r="505" spans="8:8">
      <c r="H505" s="2"/>
    </row>
    <row r="506" spans="8:8">
      <c r="H506" s="2"/>
    </row>
    <row r="507" spans="8:8">
      <c r="H507" s="2"/>
    </row>
    <row r="508" spans="8:8">
      <c r="H508" s="2"/>
    </row>
    <row r="509" spans="8:8">
      <c r="H509" s="2"/>
    </row>
    <row r="510" spans="8:8">
      <c r="H510" s="2"/>
    </row>
    <row r="511" spans="8:8">
      <c r="H511" s="2"/>
    </row>
    <row r="512" spans="8:8">
      <c r="H512" s="2"/>
    </row>
    <row r="513" spans="8:8">
      <c r="H513" s="2"/>
    </row>
    <row r="514" spans="8:8">
      <c r="H514" s="2"/>
    </row>
    <row r="515" spans="8:8">
      <c r="H515" s="2"/>
    </row>
    <row r="516" spans="8:8">
      <c r="H516" s="2"/>
    </row>
    <row r="517" spans="8:8">
      <c r="H517" s="2"/>
    </row>
    <row r="518" spans="8:8">
      <c r="H518" s="2"/>
    </row>
    <row r="519" spans="8:8">
      <c r="H519" s="2"/>
    </row>
    <row r="520" spans="8:8">
      <c r="H520" s="2"/>
    </row>
    <row r="521" spans="8:8">
      <c r="H521" s="2"/>
    </row>
    <row r="522" spans="8:8">
      <c r="H522" s="2"/>
    </row>
    <row r="523" spans="8:8">
      <c r="H523" s="2"/>
    </row>
    <row r="524" spans="8:8">
      <c r="H524" s="2"/>
    </row>
    <row r="525" spans="8:8">
      <c r="H525" s="2"/>
    </row>
    <row r="526" spans="8:8">
      <c r="H526" s="2"/>
    </row>
    <row r="527" spans="8:8">
      <c r="H527" s="2"/>
    </row>
    <row r="528" spans="8:8">
      <c r="H528" s="2"/>
    </row>
    <row r="529" spans="8:8">
      <c r="H529" s="2"/>
    </row>
    <row r="530" spans="8:8">
      <c r="H530" s="2"/>
    </row>
    <row r="531" spans="8:8">
      <c r="H531" s="2"/>
    </row>
    <row r="532" spans="8:8">
      <c r="H532" s="2"/>
    </row>
    <row r="533" spans="8:8">
      <c r="H533" s="2"/>
    </row>
    <row r="534" spans="8:8">
      <c r="H534" s="2"/>
    </row>
    <row r="535" spans="8:8">
      <c r="H535" s="2"/>
    </row>
    <row r="536" spans="8:8">
      <c r="H536" s="2"/>
    </row>
    <row r="537" spans="8:8">
      <c r="H537" s="2"/>
    </row>
    <row r="538" spans="8:8">
      <c r="H538" s="2"/>
    </row>
    <row r="539" spans="8:8">
      <c r="H539" s="2"/>
    </row>
    <row r="540" spans="8:8">
      <c r="H540" s="2"/>
    </row>
    <row r="541" spans="8:8">
      <c r="H541" s="2"/>
    </row>
    <row r="542" spans="8:8">
      <c r="H542" s="2"/>
    </row>
    <row r="543" spans="8:8">
      <c r="H543" s="2"/>
    </row>
    <row r="544" spans="8:8">
      <c r="H544" s="2"/>
    </row>
    <row r="545" spans="8:8">
      <c r="H545" s="2"/>
    </row>
    <row r="546" spans="8:8">
      <c r="H546" s="2"/>
    </row>
    <row r="547" spans="8:8">
      <c r="H547" s="2"/>
    </row>
  </sheetData>
  <mergeCells count="3">
    <mergeCell ref="C2:E2"/>
    <mergeCell ref="C5:E5"/>
    <mergeCell ref="D15:E15"/>
  </mergeCells>
  <printOptions horizontalCentered="1"/>
  <pageMargins left="0.34" right="0.28999999999999998" top="0.38" bottom="0.43" header="0.25" footer="0"/>
  <pageSetup paperSize="17" scale="31" orientation="landscape" r:id="rId1"/>
  <headerFooter alignWithMargins="0">
    <oddFooter xml:space="preserve">&amp;L&amp;"Arial,Regular"           Davidson Benefits Planning - An Alera Group Company 
&amp;C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022D3-079D-46AC-AF3A-43075AD8F8CC}">
  <dimension ref="A1:S547"/>
  <sheetViews>
    <sheetView showGridLines="0" topLeftCell="C10" zoomScale="70" zoomScaleNormal="70" zoomScaleSheetLayoutView="75" workbookViewId="0">
      <selection activeCell="G35" sqref="G35:H35"/>
    </sheetView>
  </sheetViews>
  <sheetFormatPr defaultColWidth="10.21875" defaultRowHeight="15"/>
  <cols>
    <col min="1" max="1" width="11.33203125" style="2" hidden="1" customWidth="1"/>
    <col min="2" max="2" width="12.109375" style="2" hidden="1" customWidth="1"/>
    <col min="3" max="3" width="9.109375" style="2" customWidth="1"/>
    <col min="4" max="4" width="81.88671875" style="2" customWidth="1"/>
    <col min="5" max="5" width="33.77734375" style="2" customWidth="1"/>
    <col min="6" max="6" width="2.6640625" style="2" customWidth="1"/>
    <col min="7" max="7" width="19.109375" style="2" customWidth="1"/>
    <col min="8" max="8" width="2.33203125" style="3" customWidth="1"/>
    <col min="9" max="9" width="19.109375" style="2" customWidth="1"/>
    <col min="10" max="10" width="2.33203125" style="2" customWidth="1"/>
    <col min="11" max="11" width="19.109375" style="2" customWidth="1"/>
    <col min="12" max="12" width="4.6640625" style="2" customWidth="1"/>
    <col min="13" max="14" width="17.77734375" style="2" customWidth="1"/>
    <col min="15" max="15" width="10.21875" style="2" customWidth="1"/>
    <col min="16" max="16" width="22.77734375" style="2" hidden="1" customWidth="1"/>
    <col min="17" max="18" width="22.33203125" style="55" hidden="1" customWidth="1"/>
    <col min="19" max="19" width="8.33203125" style="2" hidden="1" customWidth="1"/>
    <col min="20" max="20" width="10.21875" style="2" customWidth="1"/>
    <col min="21" max="22" width="8.6640625" style="2" customWidth="1"/>
    <col min="23" max="242" width="10.21875" style="2"/>
    <col min="243" max="244" width="0" style="2" hidden="1" customWidth="1"/>
    <col min="245" max="245" width="7.6640625" style="2" customWidth="1"/>
    <col min="246" max="246" width="4.21875" style="2" customWidth="1"/>
    <col min="247" max="247" width="98" style="2" customWidth="1"/>
    <col min="248" max="248" width="16.109375" style="2" customWidth="1"/>
    <col min="249" max="249" width="1.88671875" style="2" customWidth="1"/>
    <col min="250" max="250" width="15.88671875" style="2" customWidth="1"/>
    <col min="251" max="251" width="1.88671875" style="2" customWidth="1"/>
    <col min="252" max="252" width="13.33203125" style="2" customWidth="1"/>
    <col min="253" max="253" width="1.88671875" style="2" customWidth="1"/>
    <col min="254" max="254" width="13.33203125" style="2" customWidth="1"/>
    <col min="255" max="255" width="2.33203125" style="2" customWidth="1"/>
    <col min="256" max="256" width="2.109375" style="2" customWidth="1"/>
    <col min="257" max="257" width="16.77734375" style="2" customWidth="1"/>
    <col min="258" max="258" width="13.6640625" style="2" customWidth="1"/>
    <col min="259" max="268" width="8.6640625" style="2" customWidth="1"/>
    <col min="269" max="269" width="20.77734375" style="2" customWidth="1"/>
    <col min="270" max="498" width="10.21875" style="2"/>
    <col min="499" max="500" width="0" style="2" hidden="1" customWidth="1"/>
    <col min="501" max="501" width="7.6640625" style="2" customWidth="1"/>
    <col min="502" max="502" width="4.21875" style="2" customWidth="1"/>
    <col min="503" max="503" width="98" style="2" customWidth="1"/>
    <col min="504" max="504" width="16.109375" style="2" customWidth="1"/>
    <col min="505" max="505" width="1.88671875" style="2" customWidth="1"/>
    <col min="506" max="506" width="15.88671875" style="2" customWidth="1"/>
    <col min="507" max="507" width="1.88671875" style="2" customWidth="1"/>
    <col min="508" max="508" width="13.33203125" style="2" customWidth="1"/>
    <col min="509" max="509" width="1.88671875" style="2" customWidth="1"/>
    <col min="510" max="510" width="13.33203125" style="2" customWidth="1"/>
    <col min="511" max="511" width="2.33203125" style="2" customWidth="1"/>
    <col min="512" max="512" width="2.109375" style="2" customWidth="1"/>
    <col min="513" max="513" width="16.77734375" style="2" customWidth="1"/>
    <col min="514" max="514" width="13.6640625" style="2" customWidth="1"/>
    <col min="515" max="524" width="8.6640625" style="2" customWidth="1"/>
    <col min="525" max="525" width="20.77734375" style="2" customWidth="1"/>
    <col min="526" max="754" width="10.21875" style="2"/>
    <col min="755" max="756" width="0" style="2" hidden="1" customWidth="1"/>
    <col min="757" max="757" width="7.6640625" style="2" customWidth="1"/>
    <col min="758" max="758" width="4.21875" style="2" customWidth="1"/>
    <col min="759" max="759" width="98" style="2" customWidth="1"/>
    <col min="760" max="760" width="16.109375" style="2" customWidth="1"/>
    <col min="761" max="761" width="1.88671875" style="2" customWidth="1"/>
    <col min="762" max="762" width="15.88671875" style="2" customWidth="1"/>
    <col min="763" max="763" width="1.88671875" style="2" customWidth="1"/>
    <col min="764" max="764" width="13.33203125" style="2" customWidth="1"/>
    <col min="765" max="765" width="1.88671875" style="2" customWidth="1"/>
    <col min="766" max="766" width="13.33203125" style="2" customWidth="1"/>
    <col min="767" max="767" width="2.33203125" style="2" customWidth="1"/>
    <col min="768" max="768" width="2.109375" style="2" customWidth="1"/>
    <col min="769" max="769" width="16.77734375" style="2" customWidth="1"/>
    <col min="770" max="770" width="13.6640625" style="2" customWidth="1"/>
    <col min="771" max="780" width="8.6640625" style="2" customWidth="1"/>
    <col min="781" max="781" width="20.77734375" style="2" customWidth="1"/>
    <col min="782" max="1010" width="10.21875" style="2"/>
    <col min="1011" max="1012" width="0" style="2" hidden="1" customWidth="1"/>
    <col min="1013" max="1013" width="7.6640625" style="2" customWidth="1"/>
    <col min="1014" max="1014" width="4.21875" style="2" customWidth="1"/>
    <col min="1015" max="1015" width="98" style="2" customWidth="1"/>
    <col min="1016" max="1016" width="16.109375" style="2" customWidth="1"/>
    <col min="1017" max="1017" width="1.88671875" style="2" customWidth="1"/>
    <col min="1018" max="1018" width="15.88671875" style="2" customWidth="1"/>
    <col min="1019" max="1019" width="1.88671875" style="2" customWidth="1"/>
    <col min="1020" max="1020" width="13.33203125" style="2" customWidth="1"/>
    <col min="1021" max="1021" width="1.88671875" style="2" customWidth="1"/>
    <col min="1022" max="1022" width="13.33203125" style="2" customWidth="1"/>
    <col min="1023" max="1023" width="2.33203125" style="2" customWidth="1"/>
    <col min="1024" max="1024" width="2.109375" style="2" customWidth="1"/>
    <col min="1025" max="1025" width="16.77734375" style="2" customWidth="1"/>
    <col min="1026" max="1026" width="13.6640625" style="2" customWidth="1"/>
    <col min="1027" max="1036" width="8.6640625" style="2" customWidth="1"/>
    <col min="1037" max="1037" width="20.77734375" style="2" customWidth="1"/>
    <col min="1038" max="1266" width="10.21875" style="2"/>
    <col min="1267" max="1268" width="0" style="2" hidden="1" customWidth="1"/>
    <col min="1269" max="1269" width="7.6640625" style="2" customWidth="1"/>
    <col min="1270" max="1270" width="4.21875" style="2" customWidth="1"/>
    <col min="1271" max="1271" width="98" style="2" customWidth="1"/>
    <col min="1272" max="1272" width="16.109375" style="2" customWidth="1"/>
    <col min="1273" max="1273" width="1.88671875" style="2" customWidth="1"/>
    <col min="1274" max="1274" width="15.88671875" style="2" customWidth="1"/>
    <col min="1275" max="1275" width="1.88671875" style="2" customWidth="1"/>
    <col min="1276" max="1276" width="13.33203125" style="2" customWidth="1"/>
    <col min="1277" max="1277" width="1.88671875" style="2" customWidth="1"/>
    <col min="1278" max="1278" width="13.33203125" style="2" customWidth="1"/>
    <col min="1279" max="1279" width="2.33203125" style="2" customWidth="1"/>
    <col min="1280" max="1280" width="2.109375" style="2" customWidth="1"/>
    <col min="1281" max="1281" width="16.77734375" style="2" customWidth="1"/>
    <col min="1282" max="1282" width="13.6640625" style="2" customWidth="1"/>
    <col min="1283" max="1292" width="8.6640625" style="2" customWidth="1"/>
    <col min="1293" max="1293" width="20.77734375" style="2" customWidth="1"/>
    <col min="1294" max="1522" width="10.21875" style="2"/>
    <col min="1523" max="1524" width="0" style="2" hidden="1" customWidth="1"/>
    <col min="1525" max="1525" width="7.6640625" style="2" customWidth="1"/>
    <col min="1526" max="1526" width="4.21875" style="2" customWidth="1"/>
    <col min="1527" max="1527" width="98" style="2" customWidth="1"/>
    <col min="1528" max="1528" width="16.109375" style="2" customWidth="1"/>
    <col min="1529" max="1529" width="1.88671875" style="2" customWidth="1"/>
    <col min="1530" max="1530" width="15.88671875" style="2" customWidth="1"/>
    <col min="1531" max="1531" width="1.88671875" style="2" customWidth="1"/>
    <col min="1532" max="1532" width="13.33203125" style="2" customWidth="1"/>
    <col min="1533" max="1533" width="1.88671875" style="2" customWidth="1"/>
    <col min="1534" max="1534" width="13.33203125" style="2" customWidth="1"/>
    <col min="1535" max="1535" width="2.33203125" style="2" customWidth="1"/>
    <col min="1536" max="1536" width="2.109375" style="2" customWidth="1"/>
    <col min="1537" max="1537" width="16.77734375" style="2" customWidth="1"/>
    <col min="1538" max="1538" width="13.6640625" style="2" customWidth="1"/>
    <col min="1539" max="1548" width="8.6640625" style="2" customWidth="1"/>
    <col min="1549" max="1549" width="20.77734375" style="2" customWidth="1"/>
    <col min="1550" max="1778" width="10.21875" style="2"/>
    <col min="1779" max="1780" width="0" style="2" hidden="1" customWidth="1"/>
    <col min="1781" max="1781" width="7.6640625" style="2" customWidth="1"/>
    <col min="1782" max="1782" width="4.21875" style="2" customWidth="1"/>
    <col min="1783" max="1783" width="98" style="2" customWidth="1"/>
    <col min="1784" max="1784" width="16.109375" style="2" customWidth="1"/>
    <col min="1785" max="1785" width="1.88671875" style="2" customWidth="1"/>
    <col min="1786" max="1786" width="15.88671875" style="2" customWidth="1"/>
    <col min="1787" max="1787" width="1.88671875" style="2" customWidth="1"/>
    <col min="1788" max="1788" width="13.33203125" style="2" customWidth="1"/>
    <col min="1789" max="1789" width="1.88671875" style="2" customWidth="1"/>
    <col min="1790" max="1790" width="13.33203125" style="2" customWidth="1"/>
    <col min="1791" max="1791" width="2.33203125" style="2" customWidth="1"/>
    <col min="1792" max="1792" width="2.109375" style="2" customWidth="1"/>
    <col min="1793" max="1793" width="16.77734375" style="2" customWidth="1"/>
    <col min="1794" max="1794" width="13.6640625" style="2" customWidth="1"/>
    <col min="1795" max="1804" width="8.6640625" style="2" customWidth="1"/>
    <col min="1805" max="1805" width="20.77734375" style="2" customWidth="1"/>
    <col min="1806" max="2034" width="10.21875" style="2"/>
    <col min="2035" max="2036" width="0" style="2" hidden="1" customWidth="1"/>
    <col min="2037" max="2037" width="7.6640625" style="2" customWidth="1"/>
    <col min="2038" max="2038" width="4.21875" style="2" customWidth="1"/>
    <col min="2039" max="2039" width="98" style="2" customWidth="1"/>
    <col min="2040" max="2040" width="16.109375" style="2" customWidth="1"/>
    <col min="2041" max="2041" width="1.88671875" style="2" customWidth="1"/>
    <col min="2042" max="2042" width="15.88671875" style="2" customWidth="1"/>
    <col min="2043" max="2043" width="1.88671875" style="2" customWidth="1"/>
    <col min="2044" max="2044" width="13.33203125" style="2" customWidth="1"/>
    <col min="2045" max="2045" width="1.88671875" style="2" customWidth="1"/>
    <col min="2046" max="2046" width="13.33203125" style="2" customWidth="1"/>
    <col min="2047" max="2047" width="2.33203125" style="2" customWidth="1"/>
    <col min="2048" max="2048" width="2.109375" style="2" customWidth="1"/>
    <col min="2049" max="2049" width="16.77734375" style="2" customWidth="1"/>
    <col min="2050" max="2050" width="13.6640625" style="2" customWidth="1"/>
    <col min="2051" max="2060" width="8.6640625" style="2" customWidth="1"/>
    <col min="2061" max="2061" width="20.77734375" style="2" customWidth="1"/>
    <col min="2062" max="2290" width="10.21875" style="2"/>
    <col min="2291" max="2292" width="0" style="2" hidden="1" customWidth="1"/>
    <col min="2293" max="2293" width="7.6640625" style="2" customWidth="1"/>
    <col min="2294" max="2294" width="4.21875" style="2" customWidth="1"/>
    <col min="2295" max="2295" width="98" style="2" customWidth="1"/>
    <col min="2296" max="2296" width="16.109375" style="2" customWidth="1"/>
    <col min="2297" max="2297" width="1.88671875" style="2" customWidth="1"/>
    <col min="2298" max="2298" width="15.88671875" style="2" customWidth="1"/>
    <col min="2299" max="2299" width="1.88671875" style="2" customWidth="1"/>
    <col min="2300" max="2300" width="13.33203125" style="2" customWidth="1"/>
    <col min="2301" max="2301" width="1.88671875" style="2" customWidth="1"/>
    <col min="2302" max="2302" width="13.33203125" style="2" customWidth="1"/>
    <col min="2303" max="2303" width="2.33203125" style="2" customWidth="1"/>
    <col min="2304" max="2304" width="2.109375" style="2" customWidth="1"/>
    <col min="2305" max="2305" width="16.77734375" style="2" customWidth="1"/>
    <col min="2306" max="2306" width="13.6640625" style="2" customWidth="1"/>
    <col min="2307" max="2316" width="8.6640625" style="2" customWidth="1"/>
    <col min="2317" max="2317" width="20.77734375" style="2" customWidth="1"/>
    <col min="2318" max="2546" width="10.21875" style="2"/>
    <col min="2547" max="2548" width="0" style="2" hidden="1" customWidth="1"/>
    <col min="2549" max="2549" width="7.6640625" style="2" customWidth="1"/>
    <col min="2550" max="2550" width="4.21875" style="2" customWidth="1"/>
    <col min="2551" max="2551" width="98" style="2" customWidth="1"/>
    <col min="2552" max="2552" width="16.109375" style="2" customWidth="1"/>
    <col min="2553" max="2553" width="1.88671875" style="2" customWidth="1"/>
    <col min="2554" max="2554" width="15.88671875" style="2" customWidth="1"/>
    <col min="2555" max="2555" width="1.88671875" style="2" customWidth="1"/>
    <col min="2556" max="2556" width="13.33203125" style="2" customWidth="1"/>
    <col min="2557" max="2557" width="1.88671875" style="2" customWidth="1"/>
    <col min="2558" max="2558" width="13.33203125" style="2" customWidth="1"/>
    <col min="2559" max="2559" width="2.33203125" style="2" customWidth="1"/>
    <col min="2560" max="2560" width="2.109375" style="2" customWidth="1"/>
    <col min="2561" max="2561" width="16.77734375" style="2" customWidth="1"/>
    <col min="2562" max="2562" width="13.6640625" style="2" customWidth="1"/>
    <col min="2563" max="2572" width="8.6640625" style="2" customWidth="1"/>
    <col min="2573" max="2573" width="20.77734375" style="2" customWidth="1"/>
    <col min="2574" max="2802" width="10.21875" style="2"/>
    <col min="2803" max="2804" width="0" style="2" hidden="1" customWidth="1"/>
    <col min="2805" max="2805" width="7.6640625" style="2" customWidth="1"/>
    <col min="2806" max="2806" width="4.21875" style="2" customWidth="1"/>
    <col min="2807" max="2807" width="98" style="2" customWidth="1"/>
    <col min="2808" max="2808" width="16.109375" style="2" customWidth="1"/>
    <col min="2809" max="2809" width="1.88671875" style="2" customWidth="1"/>
    <col min="2810" max="2810" width="15.88671875" style="2" customWidth="1"/>
    <col min="2811" max="2811" width="1.88671875" style="2" customWidth="1"/>
    <col min="2812" max="2812" width="13.33203125" style="2" customWidth="1"/>
    <col min="2813" max="2813" width="1.88671875" style="2" customWidth="1"/>
    <col min="2814" max="2814" width="13.33203125" style="2" customWidth="1"/>
    <col min="2815" max="2815" width="2.33203125" style="2" customWidth="1"/>
    <col min="2816" max="2816" width="2.109375" style="2" customWidth="1"/>
    <col min="2817" max="2817" width="16.77734375" style="2" customWidth="1"/>
    <col min="2818" max="2818" width="13.6640625" style="2" customWidth="1"/>
    <col min="2819" max="2828" width="8.6640625" style="2" customWidth="1"/>
    <col min="2829" max="2829" width="20.77734375" style="2" customWidth="1"/>
    <col min="2830" max="3058" width="10.21875" style="2"/>
    <col min="3059" max="3060" width="0" style="2" hidden="1" customWidth="1"/>
    <col min="3061" max="3061" width="7.6640625" style="2" customWidth="1"/>
    <col min="3062" max="3062" width="4.21875" style="2" customWidth="1"/>
    <col min="3063" max="3063" width="98" style="2" customWidth="1"/>
    <col min="3064" max="3064" width="16.109375" style="2" customWidth="1"/>
    <col min="3065" max="3065" width="1.88671875" style="2" customWidth="1"/>
    <col min="3066" max="3066" width="15.88671875" style="2" customWidth="1"/>
    <col min="3067" max="3067" width="1.88671875" style="2" customWidth="1"/>
    <col min="3068" max="3068" width="13.33203125" style="2" customWidth="1"/>
    <col min="3069" max="3069" width="1.88671875" style="2" customWidth="1"/>
    <col min="3070" max="3070" width="13.33203125" style="2" customWidth="1"/>
    <col min="3071" max="3071" width="2.33203125" style="2" customWidth="1"/>
    <col min="3072" max="3072" width="2.109375" style="2" customWidth="1"/>
    <col min="3073" max="3073" width="16.77734375" style="2" customWidth="1"/>
    <col min="3074" max="3074" width="13.6640625" style="2" customWidth="1"/>
    <col min="3075" max="3084" width="8.6640625" style="2" customWidth="1"/>
    <col min="3085" max="3085" width="20.77734375" style="2" customWidth="1"/>
    <col min="3086" max="3314" width="10.21875" style="2"/>
    <col min="3315" max="3316" width="0" style="2" hidden="1" customWidth="1"/>
    <col min="3317" max="3317" width="7.6640625" style="2" customWidth="1"/>
    <col min="3318" max="3318" width="4.21875" style="2" customWidth="1"/>
    <col min="3319" max="3319" width="98" style="2" customWidth="1"/>
    <col min="3320" max="3320" width="16.109375" style="2" customWidth="1"/>
    <col min="3321" max="3321" width="1.88671875" style="2" customWidth="1"/>
    <col min="3322" max="3322" width="15.88671875" style="2" customWidth="1"/>
    <col min="3323" max="3323" width="1.88671875" style="2" customWidth="1"/>
    <col min="3324" max="3324" width="13.33203125" style="2" customWidth="1"/>
    <col min="3325" max="3325" width="1.88671875" style="2" customWidth="1"/>
    <col min="3326" max="3326" width="13.33203125" style="2" customWidth="1"/>
    <col min="3327" max="3327" width="2.33203125" style="2" customWidth="1"/>
    <col min="3328" max="3328" width="2.109375" style="2" customWidth="1"/>
    <col min="3329" max="3329" width="16.77734375" style="2" customWidth="1"/>
    <col min="3330" max="3330" width="13.6640625" style="2" customWidth="1"/>
    <col min="3331" max="3340" width="8.6640625" style="2" customWidth="1"/>
    <col min="3341" max="3341" width="20.77734375" style="2" customWidth="1"/>
    <col min="3342" max="3570" width="10.21875" style="2"/>
    <col min="3571" max="3572" width="0" style="2" hidden="1" customWidth="1"/>
    <col min="3573" max="3573" width="7.6640625" style="2" customWidth="1"/>
    <col min="3574" max="3574" width="4.21875" style="2" customWidth="1"/>
    <col min="3575" max="3575" width="98" style="2" customWidth="1"/>
    <col min="3576" max="3576" width="16.109375" style="2" customWidth="1"/>
    <col min="3577" max="3577" width="1.88671875" style="2" customWidth="1"/>
    <col min="3578" max="3578" width="15.88671875" style="2" customWidth="1"/>
    <col min="3579" max="3579" width="1.88671875" style="2" customWidth="1"/>
    <col min="3580" max="3580" width="13.33203125" style="2" customWidth="1"/>
    <col min="3581" max="3581" width="1.88671875" style="2" customWidth="1"/>
    <col min="3582" max="3582" width="13.33203125" style="2" customWidth="1"/>
    <col min="3583" max="3583" width="2.33203125" style="2" customWidth="1"/>
    <col min="3584" max="3584" width="2.109375" style="2" customWidth="1"/>
    <col min="3585" max="3585" width="16.77734375" style="2" customWidth="1"/>
    <col min="3586" max="3586" width="13.6640625" style="2" customWidth="1"/>
    <col min="3587" max="3596" width="8.6640625" style="2" customWidth="1"/>
    <col min="3597" max="3597" width="20.77734375" style="2" customWidth="1"/>
    <col min="3598" max="3826" width="10.21875" style="2"/>
    <col min="3827" max="3828" width="0" style="2" hidden="1" customWidth="1"/>
    <col min="3829" max="3829" width="7.6640625" style="2" customWidth="1"/>
    <col min="3830" max="3830" width="4.21875" style="2" customWidth="1"/>
    <col min="3831" max="3831" width="98" style="2" customWidth="1"/>
    <col min="3832" max="3832" width="16.109375" style="2" customWidth="1"/>
    <col min="3833" max="3833" width="1.88671875" style="2" customWidth="1"/>
    <col min="3834" max="3834" width="15.88671875" style="2" customWidth="1"/>
    <col min="3835" max="3835" width="1.88671875" style="2" customWidth="1"/>
    <col min="3836" max="3836" width="13.33203125" style="2" customWidth="1"/>
    <col min="3837" max="3837" width="1.88671875" style="2" customWidth="1"/>
    <col min="3838" max="3838" width="13.33203125" style="2" customWidth="1"/>
    <col min="3839" max="3839" width="2.33203125" style="2" customWidth="1"/>
    <col min="3840" max="3840" width="2.109375" style="2" customWidth="1"/>
    <col min="3841" max="3841" width="16.77734375" style="2" customWidth="1"/>
    <col min="3842" max="3842" width="13.6640625" style="2" customWidth="1"/>
    <col min="3843" max="3852" width="8.6640625" style="2" customWidth="1"/>
    <col min="3853" max="3853" width="20.77734375" style="2" customWidth="1"/>
    <col min="3854" max="4082" width="10.21875" style="2"/>
    <col min="4083" max="4084" width="0" style="2" hidden="1" customWidth="1"/>
    <col min="4085" max="4085" width="7.6640625" style="2" customWidth="1"/>
    <col min="4086" max="4086" width="4.21875" style="2" customWidth="1"/>
    <col min="4087" max="4087" width="98" style="2" customWidth="1"/>
    <col min="4088" max="4088" width="16.109375" style="2" customWidth="1"/>
    <col min="4089" max="4089" width="1.88671875" style="2" customWidth="1"/>
    <col min="4090" max="4090" width="15.88671875" style="2" customWidth="1"/>
    <col min="4091" max="4091" width="1.88671875" style="2" customWidth="1"/>
    <col min="4092" max="4092" width="13.33203125" style="2" customWidth="1"/>
    <col min="4093" max="4093" width="1.88671875" style="2" customWidth="1"/>
    <col min="4094" max="4094" width="13.33203125" style="2" customWidth="1"/>
    <col min="4095" max="4095" width="2.33203125" style="2" customWidth="1"/>
    <col min="4096" max="4096" width="2.109375" style="2" customWidth="1"/>
    <col min="4097" max="4097" width="16.77734375" style="2" customWidth="1"/>
    <col min="4098" max="4098" width="13.6640625" style="2" customWidth="1"/>
    <col min="4099" max="4108" width="8.6640625" style="2" customWidth="1"/>
    <col min="4109" max="4109" width="20.77734375" style="2" customWidth="1"/>
    <col min="4110" max="4338" width="10.21875" style="2"/>
    <col min="4339" max="4340" width="0" style="2" hidden="1" customWidth="1"/>
    <col min="4341" max="4341" width="7.6640625" style="2" customWidth="1"/>
    <col min="4342" max="4342" width="4.21875" style="2" customWidth="1"/>
    <col min="4343" max="4343" width="98" style="2" customWidth="1"/>
    <col min="4344" max="4344" width="16.109375" style="2" customWidth="1"/>
    <col min="4345" max="4345" width="1.88671875" style="2" customWidth="1"/>
    <col min="4346" max="4346" width="15.88671875" style="2" customWidth="1"/>
    <col min="4347" max="4347" width="1.88671875" style="2" customWidth="1"/>
    <col min="4348" max="4348" width="13.33203125" style="2" customWidth="1"/>
    <col min="4349" max="4349" width="1.88671875" style="2" customWidth="1"/>
    <col min="4350" max="4350" width="13.33203125" style="2" customWidth="1"/>
    <col min="4351" max="4351" width="2.33203125" style="2" customWidth="1"/>
    <col min="4352" max="4352" width="2.109375" style="2" customWidth="1"/>
    <col min="4353" max="4353" width="16.77734375" style="2" customWidth="1"/>
    <col min="4354" max="4354" width="13.6640625" style="2" customWidth="1"/>
    <col min="4355" max="4364" width="8.6640625" style="2" customWidth="1"/>
    <col min="4365" max="4365" width="20.77734375" style="2" customWidth="1"/>
    <col min="4366" max="4594" width="10.21875" style="2"/>
    <col min="4595" max="4596" width="0" style="2" hidden="1" customWidth="1"/>
    <col min="4597" max="4597" width="7.6640625" style="2" customWidth="1"/>
    <col min="4598" max="4598" width="4.21875" style="2" customWidth="1"/>
    <col min="4599" max="4599" width="98" style="2" customWidth="1"/>
    <col min="4600" max="4600" width="16.109375" style="2" customWidth="1"/>
    <col min="4601" max="4601" width="1.88671875" style="2" customWidth="1"/>
    <col min="4602" max="4602" width="15.88671875" style="2" customWidth="1"/>
    <col min="4603" max="4603" width="1.88671875" style="2" customWidth="1"/>
    <col min="4604" max="4604" width="13.33203125" style="2" customWidth="1"/>
    <col min="4605" max="4605" width="1.88671875" style="2" customWidth="1"/>
    <col min="4606" max="4606" width="13.33203125" style="2" customWidth="1"/>
    <col min="4607" max="4607" width="2.33203125" style="2" customWidth="1"/>
    <col min="4608" max="4608" width="2.109375" style="2" customWidth="1"/>
    <col min="4609" max="4609" width="16.77734375" style="2" customWidth="1"/>
    <col min="4610" max="4610" width="13.6640625" style="2" customWidth="1"/>
    <col min="4611" max="4620" width="8.6640625" style="2" customWidth="1"/>
    <col min="4621" max="4621" width="20.77734375" style="2" customWidth="1"/>
    <col min="4622" max="4850" width="10.21875" style="2"/>
    <col min="4851" max="4852" width="0" style="2" hidden="1" customWidth="1"/>
    <col min="4853" max="4853" width="7.6640625" style="2" customWidth="1"/>
    <col min="4854" max="4854" width="4.21875" style="2" customWidth="1"/>
    <col min="4855" max="4855" width="98" style="2" customWidth="1"/>
    <col min="4856" max="4856" width="16.109375" style="2" customWidth="1"/>
    <col min="4857" max="4857" width="1.88671875" style="2" customWidth="1"/>
    <col min="4858" max="4858" width="15.88671875" style="2" customWidth="1"/>
    <col min="4859" max="4859" width="1.88671875" style="2" customWidth="1"/>
    <col min="4860" max="4860" width="13.33203125" style="2" customWidth="1"/>
    <col min="4861" max="4861" width="1.88671875" style="2" customWidth="1"/>
    <col min="4862" max="4862" width="13.33203125" style="2" customWidth="1"/>
    <col min="4863" max="4863" width="2.33203125" style="2" customWidth="1"/>
    <col min="4864" max="4864" width="2.109375" style="2" customWidth="1"/>
    <col min="4865" max="4865" width="16.77734375" style="2" customWidth="1"/>
    <col min="4866" max="4866" width="13.6640625" style="2" customWidth="1"/>
    <col min="4867" max="4876" width="8.6640625" style="2" customWidth="1"/>
    <col min="4877" max="4877" width="20.77734375" style="2" customWidth="1"/>
    <col min="4878" max="5106" width="10.21875" style="2"/>
    <col min="5107" max="5108" width="0" style="2" hidden="1" customWidth="1"/>
    <col min="5109" max="5109" width="7.6640625" style="2" customWidth="1"/>
    <col min="5110" max="5110" width="4.21875" style="2" customWidth="1"/>
    <col min="5111" max="5111" width="98" style="2" customWidth="1"/>
    <col min="5112" max="5112" width="16.109375" style="2" customWidth="1"/>
    <col min="5113" max="5113" width="1.88671875" style="2" customWidth="1"/>
    <col min="5114" max="5114" width="15.88671875" style="2" customWidth="1"/>
    <col min="5115" max="5115" width="1.88671875" style="2" customWidth="1"/>
    <col min="5116" max="5116" width="13.33203125" style="2" customWidth="1"/>
    <col min="5117" max="5117" width="1.88671875" style="2" customWidth="1"/>
    <col min="5118" max="5118" width="13.33203125" style="2" customWidth="1"/>
    <col min="5119" max="5119" width="2.33203125" style="2" customWidth="1"/>
    <col min="5120" max="5120" width="2.109375" style="2" customWidth="1"/>
    <col min="5121" max="5121" width="16.77734375" style="2" customWidth="1"/>
    <col min="5122" max="5122" width="13.6640625" style="2" customWidth="1"/>
    <col min="5123" max="5132" width="8.6640625" style="2" customWidth="1"/>
    <col min="5133" max="5133" width="20.77734375" style="2" customWidth="1"/>
    <col min="5134" max="5362" width="10.21875" style="2"/>
    <col min="5363" max="5364" width="0" style="2" hidden="1" customWidth="1"/>
    <col min="5365" max="5365" width="7.6640625" style="2" customWidth="1"/>
    <col min="5366" max="5366" width="4.21875" style="2" customWidth="1"/>
    <col min="5367" max="5367" width="98" style="2" customWidth="1"/>
    <col min="5368" max="5368" width="16.109375" style="2" customWidth="1"/>
    <col min="5369" max="5369" width="1.88671875" style="2" customWidth="1"/>
    <col min="5370" max="5370" width="15.88671875" style="2" customWidth="1"/>
    <col min="5371" max="5371" width="1.88671875" style="2" customWidth="1"/>
    <col min="5372" max="5372" width="13.33203125" style="2" customWidth="1"/>
    <col min="5373" max="5373" width="1.88671875" style="2" customWidth="1"/>
    <col min="5374" max="5374" width="13.33203125" style="2" customWidth="1"/>
    <col min="5375" max="5375" width="2.33203125" style="2" customWidth="1"/>
    <col min="5376" max="5376" width="2.109375" style="2" customWidth="1"/>
    <col min="5377" max="5377" width="16.77734375" style="2" customWidth="1"/>
    <col min="5378" max="5378" width="13.6640625" style="2" customWidth="1"/>
    <col min="5379" max="5388" width="8.6640625" style="2" customWidth="1"/>
    <col min="5389" max="5389" width="20.77734375" style="2" customWidth="1"/>
    <col min="5390" max="5618" width="10.21875" style="2"/>
    <col min="5619" max="5620" width="0" style="2" hidden="1" customWidth="1"/>
    <col min="5621" max="5621" width="7.6640625" style="2" customWidth="1"/>
    <col min="5622" max="5622" width="4.21875" style="2" customWidth="1"/>
    <col min="5623" max="5623" width="98" style="2" customWidth="1"/>
    <col min="5624" max="5624" width="16.109375" style="2" customWidth="1"/>
    <col min="5625" max="5625" width="1.88671875" style="2" customWidth="1"/>
    <col min="5626" max="5626" width="15.88671875" style="2" customWidth="1"/>
    <col min="5627" max="5627" width="1.88671875" style="2" customWidth="1"/>
    <col min="5628" max="5628" width="13.33203125" style="2" customWidth="1"/>
    <col min="5629" max="5629" width="1.88671875" style="2" customWidth="1"/>
    <col min="5630" max="5630" width="13.33203125" style="2" customWidth="1"/>
    <col min="5631" max="5631" width="2.33203125" style="2" customWidth="1"/>
    <col min="5632" max="5632" width="2.109375" style="2" customWidth="1"/>
    <col min="5633" max="5633" width="16.77734375" style="2" customWidth="1"/>
    <col min="5634" max="5634" width="13.6640625" style="2" customWidth="1"/>
    <col min="5635" max="5644" width="8.6640625" style="2" customWidth="1"/>
    <col min="5645" max="5645" width="20.77734375" style="2" customWidth="1"/>
    <col min="5646" max="5874" width="10.21875" style="2"/>
    <col min="5875" max="5876" width="0" style="2" hidden="1" customWidth="1"/>
    <col min="5877" max="5877" width="7.6640625" style="2" customWidth="1"/>
    <col min="5878" max="5878" width="4.21875" style="2" customWidth="1"/>
    <col min="5879" max="5879" width="98" style="2" customWidth="1"/>
    <col min="5880" max="5880" width="16.109375" style="2" customWidth="1"/>
    <col min="5881" max="5881" width="1.88671875" style="2" customWidth="1"/>
    <col min="5882" max="5882" width="15.88671875" style="2" customWidth="1"/>
    <col min="5883" max="5883" width="1.88671875" style="2" customWidth="1"/>
    <col min="5884" max="5884" width="13.33203125" style="2" customWidth="1"/>
    <col min="5885" max="5885" width="1.88671875" style="2" customWidth="1"/>
    <col min="5886" max="5886" width="13.33203125" style="2" customWidth="1"/>
    <col min="5887" max="5887" width="2.33203125" style="2" customWidth="1"/>
    <col min="5888" max="5888" width="2.109375" style="2" customWidth="1"/>
    <col min="5889" max="5889" width="16.77734375" style="2" customWidth="1"/>
    <col min="5890" max="5890" width="13.6640625" style="2" customWidth="1"/>
    <col min="5891" max="5900" width="8.6640625" style="2" customWidth="1"/>
    <col min="5901" max="5901" width="20.77734375" style="2" customWidth="1"/>
    <col min="5902" max="6130" width="10.21875" style="2"/>
    <col min="6131" max="6132" width="0" style="2" hidden="1" customWidth="1"/>
    <col min="6133" max="6133" width="7.6640625" style="2" customWidth="1"/>
    <col min="6134" max="6134" width="4.21875" style="2" customWidth="1"/>
    <col min="6135" max="6135" width="98" style="2" customWidth="1"/>
    <col min="6136" max="6136" width="16.109375" style="2" customWidth="1"/>
    <col min="6137" max="6137" width="1.88671875" style="2" customWidth="1"/>
    <col min="6138" max="6138" width="15.88671875" style="2" customWidth="1"/>
    <col min="6139" max="6139" width="1.88671875" style="2" customWidth="1"/>
    <col min="6140" max="6140" width="13.33203125" style="2" customWidth="1"/>
    <col min="6141" max="6141" width="1.88671875" style="2" customWidth="1"/>
    <col min="6142" max="6142" width="13.33203125" style="2" customWidth="1"/>
    <col min="6143" max="6143" width="2.33203125" style="2" customWidth="1"/>
    <col min="6144" max="6144" width="2.109375" style="2" customWidth="1"/>
    <col min="6145" max="6145" width="16.77734375" style="2" customWidth="1"/>
    <col min="6146" max="6146" width="13.6640625" style="2" customWidth="1"/>
    <col min="6147" max="6156" width="8.6640625" style="2" customWidth="1"/>
    <col min="6157" max="6157" width="20.77734375" style="2" customWidth="1"/>
    <col min="6158" max="6386" width="10.21875" style="2"/>
    <col min="6387" max="6388" width="0" style="2" hidden="1" customWidth="1"/>
    <col min="6389" max="6389" width="7.6640625" style="2" customWidth="1"/>
    <col min="6390" max="6390" width="4.21875" style="2" customWidth="1"/>
    <col min="6391" max="6391" width="98" style="2" customWidth="1"/>
    <col min="6392" max="6392" width="16.109375" style="2" customWidth="1"/>
    <col min="6393" max="6393" width="1.88671875" style="2" customWidth="1"/>
    <col min="6394" max="6394" width="15.88671875" style="2" customWidth="1"/>
    <col min="6395" max="6395" width="1.88671875" style="2" customWidth="1"/>
    <col min="6396" max="6396" width="13.33203125" style="2" customWidth="1"/>
    <col min="6397" max="6397" width="1.88671875" style="2" customWidth="1"/>
    <col min="6398" max="6398" width="13.33203125" style="2" customWidth="1"/>
    <col min="6399" max="6399" width="2.33203125" style="2" customWidth="1"/>
    <col min="6400" max="6400" width="2.109375" style="2" customWidth="1"/>
    <col min="6401" max="6401" width="16.77734375" style="2" customWidth="1"/>
    <col min="6402" max="6402" width="13.6640625" style="2" customWidth="1"/>
    <col min="6403" max="6412" width="8.6640625" style="2" customWidth="1"/>
    <col min="6413" max="6413" width="20.77734375" style="2" customWidth="1"/>
    <col min="6414" max="6642" width="10.21875" style="2"/>
    <col min="6643" max="6644" width="0" style="2" hidden="1" customWidth="1"/>
    <col min="6645" max="6645" width="7.6640625" style="2" customWidth="1"/>
    <col min="6646" max="6646" width="4.21875" style="2" customWidth="1"/>
    <col min="6647" max="6647" width="98" style="2" customWidth="1"/>
    <col min="6648" max="6648" width="16.109375" style="2" customWidth="1"/>
    <col min="6649" max="6649" width="1.88671875" style="2" customWidth="1"/>
    <col min="6650" max="6650" width="15.88671875" style="2" customWidth="1"/>
    <col min="6651" max="6651" width="1.88671875" style="2" customWidth="1"/>
    <col min="6652" max="6652" width="13.33203125" style="2" customWidth="1"/>
    <col min="6653" max="6653" width="1.88671875" style="2" customWidth="1"/>
    <col min="6654" max="6654" width="13.33203125" style="2" customWidth="1"/>
    <col min="6655" max="6655" width="2.33203125" style="2" customWidth="1"/>
    <col min="6656" max="6656" width="2.109375" style="2" customWidth="1"/>
    <col min="6657" max="6657" width="16.77734375" style="2" customWidth="1"/>
    <col min="6658" max="6658" width="13.6640625" style="2" customWidth="1"/>
    <col min="6659" max="6668" width="8.6640625" style="2" customWidth="1"/>
    <col min="6669" max="6669" width="20.77734375" style="2" customWidth="1"/>
    <col min="6670" max="6898" width="10.21875" style="2"/>
    <col min="6899" max="6900" width="0" style="2" hidden="1" customWidth="1"/>
    <col min="6901" max="6901" width="7.6640625" style="2" customWidth="1"/>
    <col min="6902" max="6902" width="4.21875" style="2" customWidth="1"/>
    <col min="6903" max="6903" width="98" style="2" customWidth="1"/>
    <col min="6904" max="6904" width="16.109375" style="2" customWidth="1"/>
    <col min="6905" max="6905" width="1.88671875" style="2" customWidth="1"/>
    <col min="6906" max="6906" width="15.88671875" style="2" customWidth="1"/>
    <col min="6907" max="6907" width="1.88671875" style="2" customWidth="1"/>
    <col min="6908" max="6908" width="13.33203125" style="2" customWidth="1"/>
    <col min="6909" max="6909" width="1.88671875" style="2" customWidth="1"/>
    <col min="6910" max="6910" width="13.33203125" style="2" customWidth="1"/>
    <col min="6911" max="6911" width="2.33203125" style="2" customWidth="1"/>
    <col min="6912" max="6912" width="2.109375" style="2" customWidth="1"/>
    <col min="6913" max="6913" width="16.77734375" style="2" customWidth="1"/>
    <col min="6914" max="6914" width="13.6640625" style="2" customWidth="1"/>
    <col min="6915" max="6924" width="8.6640625" style="2" customWidth="1"/>
    <col min="6925" max="6925" width="20.77734375" style="2" customWidth="1"/>
    <col min="6926" max="7154" width="10.21875" style="2"/>
    <col min="7155" max="7156" width="0" style="2" hidden="1" customWidth="1"/>
    <col min="7157" max="7157" width="7.6640625" style="2" customWidth="1"/>
    <col min="7158" max="7158" width="4.21875" style="2" customWidth="1"/>
    <col min="7159" max="7159" width="98" style="2" customWidth="1"/>
    <col min="7160" max="7160" width="16.109375" style="2" customWidth="1"/>
    <col min="7161" max="7161" width="1.88671875" style="2" customWidth="1"/>
    <col min="7162" max="7162" width="15.88671875" style="2" customWidth="1"/>
    <col min="7163" max="7163" width="1.88671875" style="2" customWidth="1"/>
    <col min="7164" max="7164" width="13.33203125" style="2" customWidth="1"/>
    <col min="7165" max="7165" width="1.88671875" style="2" customWidth="1"/>
    <col min="7166" max="7166" width="13.33203125" style="2" customWidth="1"/>
    <col min="7167" max="7167" width="2.33203125" style="2" customWidth="1"/>
    <col min="7168" max="7168" width="2.109375" style="2" customWidth="1"/>
    <col min="7169" max="7169" width="16.77734375" style="2" customWidth="1"/>
    <col min="7170" max="7170" width="13.6640625" style="2" customWidth="1"/>
    <col min="7171" max="7180" width="8.6640625" style="2" customWidth="1"/>
    <col min="7181" max="7181" width="20.77734375" style="2" customWidth="1"/>
    <col min="7182" max="7410" width="10.21875" style="2"/>
    <col min="7411" max="7412" width="0" style="2" hidden="1" customWidth="1"/>
    <col min="7413" max="7413" width="7.6640625" style="2" customWidth="1"/>
    <col min="7414" max="7414" width="4.21875" style="2" customWidth="1"/>
    <col min="7415" max="7415" width="98" style="2" customWidth="1"/>
    <col min="7416" max="7416" width="16.109375" style="2" customWidth="1"/>
    <col min="7417" max="7417" width="1.88671875" style="2" customWidth="1"/>
    <col min="7418" max="7418" width="15.88671875" style="2" customWidth="1"/>
    <col min="7419" max="7419" width="1.88671875" style="2" customWidth="1"/>
    <col min="7420" max="7420" width="13.33203125" style="2" customWidth="1"/>
    <col min="7421" max="7421" width="1.88671875" style="2" customWidth="1"/>
    <col min="7422" max="7422" width="13.33203125" style="2" customWidth="1"/>
    <col min="7423" max="7423" width="2.33203125" style="2" customWidth="1"/>
    <col min="7424" max="7424" width="2.109375" style="2" customWidth="1"/>
    <col min="7425" max="7425" width="16.77734375" style="2" customWidth="1"/>
    <col min="7426" max="7426" width="13.6640625" style="2" customWidth="1"/>
    <col min="7427" max="7436" width="8.6640625" style="2" customWidth="1"/>
    <col min="7437" max="7437" width="20.77734375" style="2" customWidth="1"/>
    <col min="7438" max="7666" width="10.21875" style="2"/>
    <col min="7667" max="7668" width="0" style="2" hidden="1" customWidth="1"/>
    <col min="7669" max="7669" width="7.6640625" style="2" customWidth="1"/>
    <col min="7670" max="7670" width="4.21875" style="2" customWidth="1"/>
    <col min="7671" max="7671" width="98" style="2" customWidth="1"/>
    <col min="7672" max="7672" width="16.109375" style="2" customWidth="1"/>
    <col min="7673" max="7673" width="1.88671875" style="2" customWidth="1"/>
    <col min="7674" max="7674" width="15.88671875" style="2" customWidth="1"/>
    <col min="7675" max="7675" width="1.88671875" style="2" customWidth="1"/>
    <col min="7676" max="7676" width="13.33203125" style="2" customWidth="1"/>
    <col min="7677" max="7677" width="1.88671875" style="2" customWidth="1"/>
    <col min="7678" max="7678" width="13.33203125" style="2" customWidth="1"/>
    <col min="7679" max="7679" width="2.33203125" style="2" customWidth="1"/>
    <col min="7680" max="7680" width="2.109375" style="2" customWidth="1"/>
    <col min="7681" max="7681" width="16.77734375" style="2" customWidth="1"/>
    <col min="7682" max="7682" width="13.6640625" style="2" customWidth="1"/>
    <col min="7683" max="7692" width="8.6640625" style="2" customWidth="1"/>
    <col min="7693" max="7693" width="20.77734375" style="2" customWidth="1"/>
    <col min="7694" max="7922" width="10.21875" style="2"/>
    <col min="7923" max="7924" width="0" style="2" hidden="1" customWidth="1"/>
    <col min="7925" max="7925" width="7.6640625" style="2" customWidth="1"/>
    <col min="7926" max="7926" width="4.21875" style="2" customWidth="1"/>
    <col min="7927" max="7927" width="98" style="2" customWidth="1"/>
    <col min="7928" max="7928" width="16.109375" style="2" customWidth="1"/>
    <col min="7929" max="7929" width="1.88671875" style="2" customWidth="1"/>
    <col min="7930" max="7930" width="15.88671875" style="2" customWidth="1"/>
    <col min="7931" max="7931" width="1.88671875" style="2" customWidth="1"/>
    <col min="7932" max="7932" width="13.33203125" style="2" customWidth="1"/>
    <col min="7933" max="7933" width="1.88671875" style="2" customWidth="1"/>
    <col min="7934" max="7934" width="13.33203125" style="2" customWidth="1"/>
    <col min="7935" max="7935" width="2.33203125" style="2" customWidth="1"/>
    <col min="7936" max="7936" width="2.109375" style="2" customWidth="1"/>
    <col min="7937" max="7937" width="16.77734375" style="2" customWidth="1"/>
    <col min="7938" max="7938" width="13.6640625" style="2" customWidth="1"/>
    <col min="7939" max="7948" width="8.6640625" style="2" customWidth="1"/>
    <col min="7949" max="7949" width="20.77734375" style="2" customWidth="1"/>
    <col min="7950" max="8178" width="10.21875" style="2"/>
    <col min="8179" max="8180" width="0" style="2" hidden="1" customWidth="1"/>
    <col min="8181" max="8181" width="7.6640625" style="2" customWidth="1"/>
    <col min="8182" max="8182" width="4.21875" style="2" customWidth="1"/>
    <col min="8183" max="8183" width="98" style="2" customWidth="1"/>
    <col min="8184" max="8184" width="16.109375" style="2" customWidth="1"/>
    <col min="8185" max="8185" width="1.88671875" style="2" customWidth="1"/>
    <col min="8186" max="8186" width="15.88671875" style="2" customWidth="1"/>
    <col min="8187" max="8187" width="1.88671875" style="2" customWidth="1"/>
    <col min="8188" max="8188" width="13.33203125" style="2" customWidth="1"/>
    <col min="8189" max="8189" width="1.88671875" style="2" customWidth="1"/>
    <col min="8190" max="8190" width="13.33203125" style="2" customWidth="1"/>
    <col min="8191" max="8191" width="2.33203125" style="2" customWidth="1"/>
    <col min="8192" max="8192" width="2.109375" style="2" customWidth="1"/>
    <col min="8193" max="8193" width="16.77734375" style="2" customWidth="1"/>
    <col min="8194" max="8194" width="13.6640625" style="2" customWidth="1"/>
    <col min="8195" max="8204" width="8.6640625" style="2" customWidth="1"/>
    <col min="8205" max="8205" width="20.77734375" style="2" customWidth="1"/>
    <col min="8206" max="8434" width="10.21875" style="2"/>
    <col min="8435" max="8436" width="0" style="2" hidden="1" customWidth="1"/>
    <col min="8437" max="8437" width="7.6640625" style="2" customWidth="1"/>
    <col min="8438" max="8438" width="4.21875" style="2" customWidth="1"/>
    <col min="8439" max="8439" width="98" style="2" customWidth="1"/>
    <col min="8440" max="8440" width="16.109375" style="2" customWidth="1"/>
    <col min="8441" max="8441" width="1.88671875" style="2" customWidth="1"/>
    <col min="8442" max="8442" width="15.88671875" style="2" customWidth="1"/>
    <col min="8443" max="8443" width="1.88671875" style="2" customWidth="1"/>
    <col min="8444" max="8444" width="13.33203125" style="2" customWidth="1"/>
    <col min="8445" max="8445" width="1.88671875" style="2" customWidth="1"/>
    <col min="8446" max="8446" width="13.33203125" style="2" customWidth="1"/>
    <col min="8447" max="8447" width="2.33203125" style="2" customWidth="1"/>
    <col min="8448" max="8448" width="2.109375" style="2" customWidth="1"/>
    <col min="8449" max="8449" width="16.77734375" style="2" customWidth="1"/>
    <col min="8450" max="8450" width="13.6640625" style="2" customWidth="1"/>
    <col min="8451" max="8460" width="8.6640625" style="2" customWidth="1"/>
    <col min="8461" max="8461" width="20.77734375" style="2" customWidth="1"/>
    <col min="8462" max="8690" width="10.21875" style="2"/>
    <col min="8691" max="8692" width="0" style="2" hidden="1" customWidth="1"/>
    <col min="8693" max="8693" width="7.6640625" style="2" customWidth="1"/>
    <col min="8694" max="8694" width="4.21875" style="2" customWidth="1"/>
    <col min="8695" max="8695" width="98" style="2" customWidth="1"/>
    <col min="8696" max="8696" width="16.109375" style="2" customWidth="1"/>
    <col min="8697" max="8697" width="1.88671875" style="2" customWidth="1"/>
    <col min="8698" max="8698" width="15.88671875" style="2" customWidth="1"/>
    <col min="8699" max="8699" width="1.88671875" style="2" customWidth="1"/>
    <col min="8700" max="8700" width="13.33203125" style="2" customWidth="1"/>
    <col min="8701" max="8701" width="1.88671875" style="2" customWidth="1"/>
    <col min="8702" max="8702" width="13.33203125" style="2" customWidth="1"/>
    <col min="8703" max="8703" width="2.33203125" style="2" customWidth="1"/>
    <col min="8704" max="8704" width="2.109375" style="2" customWidth="1"/>
    <col min="8705" max="8705" width="16.77734375" style="2" customWidth="1"/>
    <col min="8706" max="8706" width="13.6640625" style="2" customWidth="1"/>
    <col min="8707" max="8716" width="8.6640625" style="2" customWidth="1"/>
    <col min="8717" max="8717" width="20.77734375" style="2" customWidth="1"/>
    <col min="8718" max="8946" width="10.21875" style="2"/>
    <col min="8947" max="8948" width="0" style="2" hidden="1" customWidth="1"/>
    <col min="8949" max="8949" width="7.6640625" style="2" customWidth="1"/>
    <col min="8950" max="8950" width="4.21875" style="2" customWidth="1"/>
    <col min="8951" max="8951" width="98" style="2" customWidth="1"/>
    <col min="8952" max="8952" width="16.109375" style="2" customWidth="1"/>
    <col min="8953" max="8953" width="1.88671875" style="2" customWidth="1"/>
    <col min="8954" max="8954" width="15.88671875" style="2" customWidth="1"/>
    <col min="8955" max="8955" width="1.88671875" style="2" customWidth="1"/>
    <col min="8956" max="8956" width="13.33203125" style="2" customWidth="1"/>
    <col min="8957" max="8957" width="1.88671875" style="2" customWidth="1"/>
    <col min="8958" max="8958" width="13.33203125" style="2" customWidth="1"/>
    <col min="8959" max="8959" width="2.33203125" style="2" customWidth="1"/>
    <col min="8960" max="8960" width="2.109375" style="2" customWidth="1"/>
    <col min="8961" max="8961" width="16.77734375" style="2" customWidth="1"/>
    <col min="8962" max="8962" width="13.6640625" style="2" customWidth="1"/>
    <col min="8963" max="8972" width="8.6640625" style="2" customWidth="1"/>
    <col min="8973" max="8973" width="20.77734375" style="2" customWidth="1"/>
    <col min="8974" max="9202" width="10.21875" style="2"/>
    <col min="9203" max="9204" width="0" style="2" hidden="1" customWidth="1"/>
    <col min="9205" max="9205" width="7.6640625" style="2" customWidth="1"/>
    <col min="9206" max="9206" width="4.21875" style="2" customWidth="1"/>
    <col min="9207" max="9207" width="98" style="2" customWidth="1"/>
    <col min="9208" max="9208" width="16.109375" style="2" customWidth="1"/>
    <col min="9209" max="9209" width="1.88671875" style="2" customWidth="1"/>
    <col min="9210" max="9210" width="15.88671875" style="2" customWidth="1"/>
    <col min="9211" max="9211" width="1.88671875" style="2" customWidth="1"/>
    <col min="9212" max="9212" width="13.33203125" style="2" customWidth="1"/>
    <col min="9213" max="9213" width="1.88671875" style="2" customWidth="1"/>
    <col min="9214" max="9214" width="13.33203125" style="2" customWidth="1"/>
    <col min="9215" max="9215" width="2.33203125" style="2" customWidth="1"/>
    <col min="9216" max="9216" width="2.109375" style="2" customWidth="1"/>
    <col min="9217" max="9217" width="16.77734375" style="2" customWidth="1"/>
    <col min="9218" max="9218" width="13.6640625" style="2" customWidth="1"/>
    <col min="9219" max="9228" width="8.6640625" style="2" customWidth="1"/>
    <col min="9229" max="9229" width="20.77734375" style="2" customWidth="1"/>
    <col min="9230" max="9458" width="10.21875" style="2"/>
    <col min="9459" max="9460" width="0" style="2" hidden="1" customWidth="1"/>
    <col min="9461" max="9461" width="7.6640625" style="2" customWidth="1"/>
    <col min="9462" max="9462" width="4.21875" style="2" customWidth="1"/>
    <col min="9463" max="9463" width="98" style="2" customWidth="1"/>
    <col min="9464" max="9464" width="16.109375" style="2" customWidth="1"/>
    <col min="9465" max="9465" width="1.88671875" style="2" customWidth="1"/>
    <col min="9466" max="9466" width="15.88671875" style="2" customWidth="1"/>
    <col min="9467" max="9467" width="1.88671875" style="2" customWidth="1"/>
    <col min="9468" max="9468" width="13.33203125" style="2" customWidth="1"/>
    <col min="9469" max="9469" width="1.88671875" style="2" customWidth="1"/>
    <col min="9470" max="9470" width="13.33203125" style="2" customWidth="1"/>
    <col min="9471" max="9471" width="2.33203125" style="2" customWidth="1"/>
    <col min="9472" max="9472" width="2.109375" style="2" customWidth="1"/>
    <col min="9473" max="9473" width="16.77734375" style="2" customWidth="1"/>
    <col min="9474" max="9474" width="13.6640625" style="2" customWidth="1"/>
    <col min="9475" max="9484" width="8.6640625" style="2" customWidth="1"/>
    <col min="9485" max="9485" width="20.77734375" style="2" customWidth="1"/>
    <col min="9486" max="9714" width="10.21875" style="2"/>
    <col min="9715" max="9716" width="0" style="2" hidden="1" customWidth="1"/>
    <col min="9717" max="9717" width="7.6640625" style="2" customWidth="1"/>
    <col min="9718" max="9718" width="4.21875" style="2" customWidth="1"/>
    <col min="9719" max="9719" width="98" style="2" customWidth="1"/>
    <col min="9720" max="9720" width="16.109375" style="2" customWidth="1"/>
    <col min="9721" max="9721" width="1.88671875" style="2" customWidth="1"/>
    <col min="9722" max="9722" width="15.88671875" style="2" customWidth="1"/>
    <col min="9723" max="9723" width="1.88671875" style="2" customWidth="1"/>
    <col min="9724" max="9724" width="13.33203125" style="2" customWidth="1"/>
    <col min="9725" max="9725" width="1.88671875" style="2" customWidth="1"/>
    <col min="9726" max="9726" width="13.33203125" style="2" customWidth="1"/>
    <col min="9727" max="9727" width="2.33203125" style="2" customWidth="1"/>
    <col min="9728" max="9728" width="2.109375" style="2" customWidth="1"/>
    <col min="9729" max="9729" width="16.77734375" style="2" customWidth="1"/>
    <col min="9730" max="9730" width="13.6640625" style="2" customWidth="1"/>
    <col min="9731" max="9740" width="8.6640625" style="2" customWidth="1"/>
    <col min="9741" max="9741" width="20.77734375" style="2" customWidth="1"/>
    <col min="9742" max="9970" width="10.21875" style="2"/>
    <col min="9971" max="9972" width="0" style="2" hidden="1" customWidth="1"/>
    <col min="9973" max="9973" width="7.6640625" style="2" customWidth="1"/>
    <col min="9974" max="9974" width="4.21875" style="2" customWidth="1"/>
    <col min="9975" max="9975" width="98" style="2" customWidth="1"/>
    <col min="9976" max="9976" width="16.109375" style="2" customWidth="1"/>
    <col min="9977" max="9977" width="1.88671875" style="2" customWidth="1"/>
    <col min="9978" max="9978" width="15.88671875" style="2" customWidth="1"/>
    <col min="9979" max="9979" width="1.88671875" style="2" customWidth="1"/>
    <col min="9980" max="9980" width="13.33203125" style="2" customWidth="1"/>
    <col min="9981" max="9981" width="1.88671875" style="2" customWidth="1"/>
    <col min="9982" max="9982" width="13.33203125" style="2" customWidth="1"/>
    <col min="9983" max="9983" width="2.33203125" style="2" customWidth="1"/>
    <col min="9984" max="9984" width="2.109375" style="2" customWidth="1"/>
    <col min="9985" max="9985" width="16.77734375" style="2" customWidth="1"/>
    <col min="9986" max="9986" width="13.6640625" style="2" customWidth="1"/>
    <col min="9987" max="9996" width="8.6640625" style="2" customWidth="1"/>
    <col min="9997" max="9997" width="20.77734375" style="2" customWidth="1"/>
    <col min="9998" max="10226" width="10.21875" style="2"/>
    <col min="10227" max="10228" width="0" style="2" hidden="1" customWidth="1"/>
    <col min="10229" max="10229" width="7.6640625" style="2" customWidth="1"/>
    <col min="10230" max="10230" width="4.21875" style="2" customWidth="1"/>
    <col min="10231" max="10231" width="98" style="2" customWidth="1"/>
    <col min="10232" max="10232" width="16.109375" style="2" customWidth="1"/>
    <col min="10233" max="10233" width="1.88671875" style="2" customWidth="1"/>
    <col min="10234" max="10234" width="15.88671875" style="2" customWidth="1"/>
    <col min="10235" max="10235" width="1.88671875" style="2" customWidth="1"/>
    <col min="10236" max="10236" width="13.33203125" style="2" customWidth="1"/>
    <col min="10237" max="10237" width="1.88671875" style="2" customWidth="1"/>
    <col min="10238" max="10238" width="13.33203125" style="2" customWidth="1"/>
    <col min="10239" max="10239" width="2.33203125" style="2" customWidth="1"/>
    <col min="10240" max="10240" width="2.109375" style="2" customWidth="1"/>
    <col min="10241" max="10241" width="16.77734375" style="2" customWidth="1"/>
    <col min="10242" max="10242" width="13.6640625" style="2" customWidth="1"/>
    <col min="10243" max="10252" width="8.6640625" style="2" customWidth="1"/>
    <col min="10253" max="10253" width="20.77734375" style="2" customWidth="1"/>
    <col min="10254" max="10482" width="10.21875" style="2"/>
    <col min="10483" max="10484" width="0" style="2" hidden="1" customWidth="1"/>
    <col min="10485" max="10485" width="7.6640625" style="2" customWidth="1"/>
    <col min="10486" max="10486" width="4.21875" style="2" customWidth="1"/>
    <col min="10487" max="10487" width="98" style="2" customWidth="1"/>
    <col min="10488" max="10488" width="16.109375" style="2" customWidth="1"/>
    <col min="10489" max="10489" width="1.88671875" style="2" customWidth="1"/>
    <col min="10490" max="10490" width="15.88671875" style="2" customWidth="1"/>
    <col min="10491" max="10491" width="1.88671875" style="2" customWidth="1"/>
    <col min="10492" max="10492" width="13.33203125" style="2" customWidth="1"/>
    <col min="10493" max="10493" width="1.88671875" style="2" customWidth="1"/>
    <col min="10494" max="10494" width="13.33203125" style="2" customWidth="1"/>
    <col min="10495" max="10495" width="2.33203125" style="2" customWidth="1"/>
    <col min="10496" max="10496" width="2.109375" style="2" customWidth="1"/>
    <col min="10497" max="10497" width="16.77734375" style="2" customWidth="1"/>
    <col min="10498" max="10498" width="13.6640625" style="2" customWidth="1"/>
    <col min="10499" max="10508" width="8.6640625" style="2" customWidth="1"/>
    <col min="10509" max="10509" width="20.77734375" style="2" customWidth="1"/>
    <col min="10510" max="10738" width="10.21875" style="2"/>
    <col min="10739" max="10740" width="0" style="2" hidden="1" customWidth="1"/>
    <col min="10741" max="10741" width="7.6640625" style="2" customWidth="1"/>
    <col min="10742" max="10742" width="4.21875" style="2" customWidth="1"/>
    <col min="10743" max="10743" width="98" style="2" customWidth="1"/>
    <col min="10744" max="10744" width="16.109375" style="2" customWidth="1"/>
    <col min="10745" max="10745" width="1.88671875" style="2" customWidth="1"/>
    <col min="10746" max="10746" width="15.88671875" style="2" customWidth="1"/>
    <col min="10747" max="10747" width="1.88671875" style="2" customWidth="1"/>
    <col min="10748" max="10748" width="13.33203125" style="2" customWidth="1"/>
    <col min="10749" max="10749" width="1.88671875" style="2" customWidth="1"/>
    <col min="10750" max="10750" width="13.33203125" style="2" customWidth="1"/>
    <col min="10751" max="10751" width="2.33203125" style="2" customWidth="1"/>
    <col min="10752" max="10752" width="2.109375" style="2" customWidth="1"/>
    <col min="10753" max="10753" width="16.77734375" style="2" customWidth="1"/>
    <col min="10754" max="10754" width="13.6640625" style="2" customWidth="1"/>
    <col min="10755" max="10764" width="8.6640625" style="2" customWidth="1"/>
    <col min="10765" max="10765" width="20.77734375" style="2" customWidth="1"/>
    <col min="10766" max="10994" width="10.21875" style="2"/>
    <col min="10995" max="10996" width="0" style="2" hidden="1" customWidth="1"/>
    <col min="10997" max="10997" width="7.6640625" style="2" customWidth="1"/>
    <col min="10998" max="10998" width="4.21875" style="2" customWidth="1"/>
    <col min="10999" max="10999" width="98" style="2" customWidth="1"/>
    <col min="11000" max="11000" width="16.109375" style="2" customWidth="1"/>
    <col min="11001" max="11001" width="1.88671875" style="2" customWidth="1"/>
    <col min="11002" max="11002" width="15.88671875" style="2" customWidth="1"/>
    <col min="11003" max="11003" width="1.88671875" style="2" customWidth="1"/>
    <col min="11004" max="11004" width="13.33203125" style="2" customWidth="1"/>
    <col min="11005" max="11005" width="1.88671875" style="2" customWidth="1"/>
    <col min="11006" max="11006" width="13.33203125" style="2" customWidth="1"/>
    <col min="11007" max="11007" width="2.33203125" style="2" customWidth="1"/>
    <col min="11008" max="11008" width="2.109375" style="2" customWidth="1"/>
    <col min="11009" max="11009" width="16.77734375" style="2" customWidth="1"/>
    <col min="11010" max="11010" width="13.6640625" style="2" customWidth="1"/>
    <col min="11011" max="11020" width="8.6640625" style="2" customWidth="1"/>
    <col min="11021" max="11021" width="20.77734375" style="2" customWidth="1"/>
    <col min="11022" max="11250" width="10.21875" style="2"/>
    <col min="11251" max="11252" width="0" style="2" hidden="1" customWidth="1"/>
    <col min="11253" max="11253" width="7.6640625" style="2" customWidth="1"/>
    <col min="11254" max="11254" width="4.21875" style="2" customWidth="1"/>
    <col min="11255" max="11255" width="98" style="2" customWidth="1"/>
    <col min="11256" max="11256" width="16.109375" style="2" customWidth="1"/>
    <col min="11257" max="11257" width="1.88671875" style="2" customWidth="1"/>
    <col min="11258" max="11258" width="15.88671875" style="2" customWidth="1"/>
    <col min="11259" max="11259" width="1.88671875" style="2" customWidth="1"/>
    <col min="11260" max="11260" width="13.33203125" style="2" customWidth="1"/>
    <col min="11261" max="11261" width="1.88671875" style="2" customWidth="1"/>
    <col min="11262" max="11262" width="13.33203125" style="2" customWidth="1"/>
    <col min="11263" max="11263" width="2.33203125" style="2" customWidth="1"/>
    <col min="11264" max="11264" width="2.109375" style="2" customWidth="1"/>
    <col min="11265" max="11265" width="16.77734375" style="2" customWidth="1"/>
    <col min="11266" max="11266" width="13.6640625" style="2" customWidth="1"/>
    <col min="11267" max="11276" width="8.6640625" style="2" customWidth="1"/>
    <col min="11277" max="11277" width="20.77734375" style="2" customWidth="1"/>
    <col min="11278" max="11506" width="10.21875" style="2"/>
    <col min="11507" max="11508" width="0" style="2" hidden="1" customWidth="1"/>
    <col min="11509" max="11509" width="7.6640625" style="2" customWidth="1"/>
    <col min="11510" max="11510" width="4.21875" style="2" customWidth="1"/>
    <col min="11511" max="11511" width="98" style="2" customWidth="1"/>
    <col min="11512" max="11512" width="16.109375" style="2" customWidth="1"/>
    <col min="11513" max="11513" width="1.88671875" style="2" customWidth="1"/>
    <col min="11514" max="11514" width="15.88671875" style="2" customWidth="1"/>
    <col min="11515" max="11515" width="1.88671875" style="2" customWidth="1"/>
    <col min="11516" max="11516" width="13.33203125" style="2" customWidth="1"/>
    <col min="11517" max="11517" width="1.88671875" style="2" customWidth="1"/>
    <col min="11518" max="11518" width="13.33203125" style="2" customWidth="1"/>
    <col min="11519" max="11519" width="2.33203125" style="2" customWidth="1"/>
    <col min="11520" max="11520" width="2.109375" style="2" customWidth="1"/>
    <col min="11521" max="11521" width="16.77734375" style="2" customWidth="1"/>
    <col min="11522" max="11522" width="13.6640625" style="2" customWidth="1"/>
    <col min="11523" max="11532" width="8.6640625" style="2" customWidth="1"/>
    <col min="11533" max="11533" width="20.77734375" style="2" customWidth="1"/>
    <col min="11534" max="11762" width="10.21875" style="2"/>
    <col min="11763" max="11764" width="0" style="2" hidden="1" customWidth="1"/>
    <col min="11765" max="11765" width="7.6640625" style="2" customWidth="1"/>
    <col min="11766" max="11766" width="4.21875" style="2" customWidth="1"/>
    <col min="11767" max="11767" width="98" style="2" customWidth="1"/>
    <col min="11768" max="11768" width="16.109375" style="2" customWidth="1"/>
    <col min="11769" max="11769" width="1.88671875" style="2" customWidth="1"/>
    <col min="11770" max="11770" width="15.88671875" style="2" customWidth="1"/>
    <col min="11771" max="11771" width="1.88671875" style="2" customWidth="1"/>
    <col min="11772" max="11772" width="13.33203125" style="2" customWidth="1"/>
    <col min="11773" max="11773" width="1.88671875" style="2" customWidth="1"/>
    <col min="11774" max="11774" width="13.33203125" style="2" customWidth="1"/>
    <col min="11775" max="11775" width="2.33203125" style="2" customWidth="1"/>
    <col min="11776" max="11776" width="2.109375" style="2" customWidth="1"/>
    <col min="11777" max="11777" width="16.77734375" style="2" customWidth="1"/>
    <col min="11778" max="11778" width="13.6640625" style="2" customWidth="1"/>
    <col min="11779" max="11788" width="8.6640625" style="2" customWidth="1"/>
    <col min="11789" max="11789" width="20.77734375" style="2" customWidth="1"/>
    <col min="11790" max="12018" width="10.21875" style="2"/>
    <col min="12019" max="12020" width="0" style="2" hidden="1" customWidth="1"/>
    <col min="12021" max="12021" width="7.6640625" style="2" customWidth="1"/>
    <col min="12022" max="12022" width="4.21875" style="2" customWidth="1"/>
    <col min="12023" max="12023" width="98" style="2" customWidth="1"/>
    <col min="12024" max="12024" width="16.109375" style="2" customWidth="1"/>
    <col min="12025" max="12025" width="1.88671875" style="2" customWidth="1"/>
    <col min="12026" max="12026" width="15.88671875" style="2" customWidth="1"/>
    <col min="12027" max="12027" width="1.88671875" style="2" customWidth="1"/>
    <col min="12028" max="12028" width="13.33203125" style="2" customWidth="1"/>
    <col min="12029" max="12029" width="1.88671875" style="2" customWidth="1"/>
    <col min="12030" max="12030" width="13.33203125" style="2" customWidth="1"/>
    <col min="12031" max="12031" width="2.33203125" style="2" customWidth="1"/>
    <col min="12032" max="12032" width="2.109375" style="2" customWidth="1"/>
    <col min="12033" max="12033" width="16.77734375" style="2" customWidth="1"/>
    <col min="12034" max="12034" width="13.6640625" style="2" customWidth="1"/>
    <col min="12035" max="12044" width="8.6640625" style="2" customWidth="1"/>
    <col min="12045" max="12045" width="20.77734375" style="2" customWidth="1"/>
    <col min="12046" max="12274" width="10.21875" style="2"/>
    <col min="12275" max="12276" width="0" style="2" hidden="1" customWidth="1"/>
    <col min="12277" max="12277" width="7.6640625" style="2" customWidth="1"/>
    <col min="12278" max="12278" width="4.21875" style="2" customWidth="1"/>
    <col min="12279" max="12279" width="98" style="2" customWidth="1"/>
    <col min="12280" max="12280" width="16.109375" style="2" customWidth="1"/>
    <col min="12281" max="12281" width="1.88671875" style="2" customWidth="1"/>
    <col min="12282" max="12282" width="15.88671875" style="2" customWidth="1"/>
    <col min="12283" max="12283" width="1.88671875" style="2" customWidth="1"/>
    <col min="12284" max="12284" width="13.33203125" style="2" customWidth="1"/>
    <col min="12285" max="12285" width="1.88671875" style="2" customWidth="1"/>
    <col min="12286" max="12286" width="13.33203125" style="2" customWidth="1"/>
    <col min="12287" max="12287" width="2.33203125" style="2" customWidth="1"/>
    <col min="12288" max="12288" width="2.109375" style="2" customWidth="1"/>
    <col min="12289" max="12289" width="16.77734375" style="2" customWidth="1"/>
    <col min="12290" max="12290" width="13.6640625" style="2" customWidth="1"/>
    <col min="12291" max="12300" width="8.6640625" style="2" customWidth="1"/>
    <col min="12301" max="12301" width="20.77734375" style="2" customWidth="1"/>
    <col min="12302" max="12530" width="10.21875" style="2"/>
    <col min="12531" max="12532" width="0" style="2" hidden="1" customWidth="1"/>
    <col min="12533" max="12533" width="7.6640625" style="2" customWidth="1"/>
    <col min="12534" max="12534" width="4.21875" style="2" customWidth="1"/>
    <col min="12535" max="12535" width="98" style="2" customWidth="1"/>
    <col min="12536" max="12536" width="16.109375" style="2" customWidth="1"/>
    <col min="12537" max="12537" width="1.88671875" style="2" customWidth="1"/>
    <col min="12538" max="12538" width="15.88671875" style="2" customWidth="1"/>
    <col min="12539" max="12539" width="1.88671875" style="2" customWidth="1"/>
    <col min="12540" max="12540" width="13.33203125" style="2" customWidth="1"/>
    <col min="12541" max="12541" width="1.88671875" style="2" customWidth="1"/>
    <col min="12542" max="12542" width="13.33203125" style="2" customWidth="1"/>
    <col min="12543" max="12543" width="2.33203125" style="2" customWidth="1"/>
    <col min="12544" max="12544" width="2.109375" style="2" customWidth="1"/>
    <col min="12545" max="12545" width="16.77734375" style="2" customWidth="1"/>
    <col min="12546" max="12546" width="13.6640625" style="2" customWidth="1"/>
    <col min="12547" max="12556" width="8.6640625" style="2" customWidth="1"/>
    <col min="12557" max="12557" width="20.77734375" style="2" customWidth="1"/>
    <col min="12558" max="12786" width="10.21875" style="2"/>
    <col min="12787" max="12788" width="0" style="2" hidden="1" customWidth="1"/>
    <col min="12789" max="12789" width="7.6640625" style="2" customWidth="1"/>
    <col min="12790" max="12790" width="4.21875" style="2" customWidth="1"/>
    <col min="12791" max="12791" width="98" style="2" customWidth="1"/>
    <col min="12792" max="12792" width="16.109375" style="2" customWidth="1"/>
    <col min="12793" max="12793" width="1.88671875" style="2" customWidth="1"/>
    <col min="12794" max="12794" width="15.88671875" style="2" customWidth="1"/>
    <col min="12795" max="12795" width="1.88671875" style="2" customWidth="1"/>
    <col min="12796" max="12796" width="13.33203125" style="2" customWidth="1"/>
    <col min="12797" max="12797" width="1.88671875" style="2" customWidth="1"/>
    <col min="12798" max="12798" width="13.33203125" style="2" customWidth="1"/>
    <col min="12799" max="12799" width="2.33203125" style="2" customWidth="1"/>
    <col min="12800" max="12800" width="2.109375" style="2" customWidth="1"/>
    <col min="12801" max="12801" width="16.77734375" style="2" customWidth="1"/>
    <col min="12802" max="12802" width="13.6640625" style="2" customWidth="1"/>
    <col min="12803" max="12812" width="8.6640625" style="2" customWidth="1"/>
    <col min="12813" max="12813" width="20.77734375" style="2" customWidth="1"/>
    <col min="12814" max="13042" width="10.21875" style="2"/>
    <col min="13043" max="13044" width="0" style="2" hidden="1" customWidth="1"/>
    <col min="13045" max="13045" width="7.6640625" style="2" customWidth="1"/>
    <col min="13046" max="13046" width="4.21875" style="2" customWidth="1"/>
    <col min="13047" max="13047" width="98" style="2" customWidth="1"/>
    <col min="13048" max="13048" width="16.109375" style="2" customWidth="1"/>
    <col min="13049" max="13049" width="1.88671875" style="2" customWidth="1"/>
    <col min="13050" max="13050" width="15.88671875" style="2" customWidth="1"/>
    <col min="13051" max="13051" width="1.88671875" style="2" customWidth="1"/>
    <col min="13052" max="13052" width="13.33203125" style="2" customWidth="1"/>
    <col min="13053" max="13053" width="1.88671875" style="2" customWidth="1"/>
    <col min="13054" max="13054" width="13.33203125" style="2" customWidth="1"/>
    <col min="13055" max="13055" width="2.33203125" style="2" customWidth="1"/>
    <col min="13056" max="13056" width="2.109375" style="2" customWidth="1"/>
    <col min="13057" max="13057" width="16.77734375" style="2" customWidth="1"/>
    <col min="13058" max="13058" width="13.6640625" style="2" customWidth="1"/>
    <col min="13059" max="13068" width="8.6640625" style="2" customWidth="1"/>
    <col min="13069" max="13069" width="20.77734375" style="2" customWidth="1"/>
    <col min="13070" max="13298" width="10.21875" style="2"/>
    <col min="13299" max="13300" width="0" style="2" hidden="1" customWidth="1"/>
    <col min="13301" max="13301" width="7.6640625" style="2" customWidth="1"/>
    <col min="13302" max="13302" width="4.21875" style="2" customWidth="1"/>
    <col min="13303" max="13303" width="98" style="2" customWidth="1"/>
    <col min="13304" max="13304" width="16.109375" style="2" customWidth="1"/>
    <col min="13305" max="13305" width="1.88671875" style="2" customWidth="1"/>
    <col min="13306" max="13306" width="15.88671875" style="2" customWidth="1"/>
    <col min="13307" max="13307" width="1.88671875" style="2" customWidth="1"/>
    <col min="13308" max="13308" width="13.33203125" style="2" customWidth="1"/>
    <col min="13309" max="13309" width="1.88671875" style="2" customWidth="1"/>
    <col min="13310" max="13310" width="13.33203125" style="2" customWidth="1"/>
    <col min="13311" max="13311" width="2.33203125" style="2" customWidth="1"/>
    <col min="13312" max="13312" width="2.109375" style="2" customWidth="1"/>
    <col min="13313" max="13313" width="16.77734375" style="2" customWidth="1"/>
    <col min="13314" max="13314" width="13.6640625" style="2" customWidth="1"/>
    <col min="13315" max="13324" width="8.6640625" style="2" customWidth="1"/>
    <col min="13325" max="13325" width="20.77734375" style="2" customWidth="1"/>
    <col min="13326" max="13554" width="10.21875" style="2"/>
    <col min="13555" max="13556" width="0" style="2" hidden="1" customWidth="1"/>
    <col min="13557" max="13557" width="7.6640625" style="2" customWidth="1"/>
    <col min="13558" max="13558" width="4.21875" style="2" customWidth="1"/>
    <col min="13559" max="13559" width="98" style="2" customWidth="1"/>
    <col min="13560" max="13560" width="16.109375" style="2" customWidth="1"/>
    <col min="13561" max="13561" width="1.88671875" style="2" customWidth="1"/>
    <col min="13562" max="13562" width="15.88671875" style="2" customWidth="1"/>
    <col min="13563" max="13563" width="1.88671875" style="2" customWidth="1"/>
    <col min="13564" max="13564" width="13.33203125" style="2" customWidth="1"/>
    <col min="13565" max="13565" width="1.88671875" style="2" customWidth="1"/>
    <col min="13566" max="13566" width="13.33203125" style="2" customWidth="1"/>
    <col min="13567" max="13567" width="2.33203125" style="2" customWidth="1"/>
    <col min="13568" max="13568" width="2.109375" style="2" customWidth="1"/>
    <col min="13569" max="13569" width="16.77734375" style="2" customWidth="1"/>
    <col min="13570" max="13570" width="13.6640625" style="2" customWidth="1"/>
    <col min="13571" max="13580" width="8.6640625" style="2" customWidth="1"/>
    <col min="13581" max="13581" width="20.77734375" style="2" customWidth="1"/>
    <col min="13582" max="13810" width="10.21875" style="2"/>
    <col min="13811" max="13812" width="0" style="2" hidden="1" customWidth="1"/>
    <col min="13813" max="13813" width="7.6640625" style="2" customWidth="1"/>
    <col min="13814" max="13814" width="4.21875" style="2" customWidth="1"/>
    <col min="13815" max="13815" width="98" style="2" customWidth="1"/>
    <col min="13816" max="13816" width="16.109375" style="2" customWidth="1"/>
    <col min="13817" max="13817" width="1.88671875" style="2" customWidth="1"/>
    <col min="13818" max="13818" width="15.88671875" style="2" customWidth="1"/>
    <col min="13819" max="13819" width="1.88671875" style="2" customWidth="1"/>
    <col min="13820" max="13820" width="13.33203125" style="2" customWidth="1"/>
    <col min="13821" max="13821" width="1.88671875" style="2" customWidth="1"/>
    <col min="13822" max="13822" width="13.33203125" style="2" customWidth="1"/>
    <col min="13823" max="13823" width="2.33203125" style="2" customWidth="1"/>
    <col min="13824" max="13824" width="2.109375" style="2" customWidth="1"/>
    <col min="13825" max="13825" width="16.77734375" style="2" customWidth="1"/>
    <col min="13826" max="13826" width="13.6640625" style="2" customWidth="1"/>
    <col min="13827" max="13836" width="8.6640625" style="2" customWidth="1"/>
    <col min="13837" max="13837" width="20.77734375" style="2" customWidth="1"/>
    <col min="13838" max="14066" width="10.21875" style="2"/>
    <col min="14067" max="14068" width="0" style="2" hidden="1" customWidth="1"/>
    <col min="14069" max="14069" width="7.6640625" style="2" customWidth="1"/>
    <col min="14070" max="14070" width="4.21875" style="2" customWidth="1"/>
    <col min="14071" max="14071" width="98" style="2" customWidth="1"/>
    <col min="14072" max="14072" width="16.109375" style="2" customWidth="1"/>
    <col min="14073" max="14073" width="1.88671875" style="2" customWidth="1"/>
    <col min="14074" max="14074" width="15.88671875" style="2" customWidth="1"/>
    <col min="14075" max="14075" width="1.88671875" style="2" customWidth="1"/>
    <col min="14076" max="14076" width="13.33203125" style="2" customWidth="1"/>
    <col min="14077" max="14077" width="1.88671875" style="2" customWidth="1"/>
    <col min="14078" max="14078" width="13.33203125" style="2" customWidth="1"/>
    <col min="14079" max="14079" width="2.33203125" style="2" customWidth="1"/>
    <col min="14080" max="14080" width="2.109375" style="2" customWidth="1"/>
    <col min="14081" max="14081" width="16.77734375" style="2" customWidth="1"/>
    <col min="14082" max="14082" width="13.6640625" style="2" customWidth="1"/>
    <col min="14083" max="14092" width="8.6640625" style="2" customWidth="1"/>
    <col min="14093" max="14093" width="20.77734375" style="2" customWidth="1"/>
    <col min="14094" max="14322" width="10.21875" style="2"/>
    <col min="14323" max="14324" width="0" style="2" hidden="1" customWidth="1"/>
    <col min="14325" max="14325" width="7.6640625" style="2" customWidth="1"/>
    <col min="14326" max="14326" width="4.21875" style="2" customWidth="1"/>
    <col min="14327" max="14327" width="98" style="2" customWidth="1"/>
    <col min="14328" max="14328" width="16.109375" style="2" customWidth="1"/>
    <col min="14329" max="14329" width="1.88671875" style="2" customWidth="1"/>
    <col min="14330" max="14330" width="15.88671875" style="2" customWidth="1"/>
    <col min="14331" max="14331" width="1.88671875" style="2" customWidth="1"/>
    <col min="14332" max="14332" width="13.33203125" style="2" customWidth="1"/>
    <col min="14333" max="14333" width="1.88671875" style="2" customWidth="1"/>
    <col min="14334" max="14334" width="13.33203125" style="2" customWidth="1"/>
    <col min="14335" max="14335" width="2.33203125" style="2" customWidth="1"/>
    <col min="14336" max="14336" width="2.109375" style="2" customWidth="1"/>
    <col min="14337" max="14337" width="16.77734375" style="2" customWidth="1"/>
    <col min="14338" max="14338" width="13.6640625" style="2" customWidth="1"/>
    <col min="14339" max="14348" width="8.6640625" style="2" customWidth="1"/>
    <col min="14349" max="14349" width="20.77734375" style="2" customWidth="1"/>
    <col min="14350" max="14578" width="10.21875" style="2"/>
    <col min="14579" max="14580" width="0" style="2" hidden="1" customWidth="1"/>
    <col min="14581" max="14581" width="7.6640625" style="2" customWidth="1"/>
    <col min="14582" max="14582" width="4.21875" style="2" customWidth="1"/>
    <col min="14583" max="14583" width="98" style="2" customWidth="1"/>
    <col min="14584" max="14584" width="16.109375" style="2" customWidth="1"/>
    <col min="14585" max="14585" width="1.88671875" style="2" customWidth="1"/>
    <col min="14586" max="14586" width="15.88671875" style="2" customWidth="1"/>
    <col min="14587" max="14587" width="1.88671875" style="2" customWidth="1"/>
    <col min="14588" max="14588" width="13.33203125" style="2" customWidth="1"/>
    <col min="14589" max="14589" width="1.88671875" style="2" customWidth="1"/>
    <col min="14590" max="14590" width="13.33203125" style="2" customWidth="1"/>
    <col min="14591" max="14591" width="2.33203125" style="2" customWidth="1"/>
    <col min="14592" max="14592" width="2.109375" style="2" customWidth="1"/>
    <col min="14593" max="14593" width="16.77734375" style="2" customWidth="1"/>
    <col min="14594" max="14594" width="13.6640625" style="2" customWidth="1"/>
    <col min="14595" max="14604" width="8.6640625" style="2" customWidth="1"/>
    <col min="14605" max="14605" width="20.77734375" style="2" customWidth="1"/>
    <col min="14606" max="14834" width="10.21875" style="2"/>
    <col min="14835" max="14836" width="0" style="2" hidden="1" customWidth="1"/>
    <col min="14837" max="14837" width="7.6640625" style="2" customWidth="1"/>
    <col min="14838" max="14838" width="4.21875" style="2" customWidth="1"/>
    <col min="14839" max="14839" width="98" style="2" customWidth="1"/>
    <col min="14840" max="14840" width="16.109375" style="2" customWidth="1"/>
    <col min="14841" max="14841" width="1.88671875" style="2" customWidth="1"/>
    <col min="14842" max="14842" width="15.88671875" style="2" customWidth="1"/>
    <col min="14843" max="14843" width="1.88671875" style="2" customWidth="1"/>
    <col min="14844" max="14844" width="13.33203125" style="2" customWidth="1"/>
    <col min="14845" max="14845" width="1.88671875" style="2" customWidth="1"/>
    <col min="14846" max="14846" width="13.33203125" style="2" customWidth="1"/>
    <col min="14847" max="14847" width="2.33203125" style="2" customWidth="1"/>
    <col min="14848" max="14848" width="2.109375" style="2" customWidth="1"/>
    <col min="14849" max="14849" width="16.77734375" style="2" customWidth="1"/>
    <col min="14850" max="14850" width="13.6640625" style="2" customWidth="1"/>
    <col min="14851" max="14860" width="8.6640625" style="2" customWidth="1"/>
    <col min="14861" max="14861" width="20.77734375" style="2" customWidth="1"/>
    <col min="14862" max="15090" width="10.21875" style="2"/>
    <col min="15091" max="15092" width="0" style="2" hidden="1" customWidth="1"/>
    <col min="15093" max="15093" width="7.6640625" style="2" customWidth="1"/>
    <col min="15094" max="15094" width="4.21875" style="2" customWidth="1"/>
    <col min="15095" max="15095" width="98" style="2" customWidth="1"/>
    <col min="15096" max="15096" width="16.109375" style="2" customWidth="1"/>
    <col min="15097" max="15097" width="1.88671875" style="2" customWidth="1"/>
    <col min="15098" max="15098" width="15.88671875" style="2" customWidth="1"/>
    <col min="15099" max="15099" width="1.88671875" style="2" customWidth="1"/>
    <col min="15100" max="15100" width="13.33203125" style="2" customWidth="1"/>
    <col min="15101" max="15101" width="1.88671875" style="2" customWidth="1"/>
    <col min="15102" max="15102" width="13.33203125" style="2" customWidth="1"/>
    <col min="15103" max="15103" width="2.33203125" style="2" customWidth="1"/>
    <col min="15104" max="15104" width="2.109375" style="2" customWidth="1"/>
    <col min="15105" max="15105" width="16.77734375" style="2" customWidth="1"/>
    <col min="15106" max="15106" width="13.6640625" style="2" customWidth="1"/>
    <col min="15107" max="15116" width="8.6640625" style="2" customWidth="1"/>
    <col min="15117" max="15117" width="20.77734375" style="2" customWidth="1"/>
    <col min="15118" max="15346" width="10.21875" style="2"/>
    <col min="15347" max="15348" width="0" style="2" hidden="1" customWidth="1"/>
    <col min="15349" max="15349" width="7.6640625" style="2" customWidth="1"/>
    <col min="15350" max="15350" width="4.21875" style="2" customWidth="1"/>
    <col min="15351" max="15351" width="98" style="2" customWidth="1"/>
    <col min="15352" max="15352" width="16.109375" style="2" customWidth="1"/>
    <col min="15353" max="15353" width="1.88671875" style="2" customWidth="1"/>
    <col min="15354" max="15354" width="15.88671875" style="2" customWidth="1"/>
    <col min="15355" max="15355" width="1.88671875" style="2" customWidth="1"/>
    <col min="15356" max="15356" width="13.33203125" style="2" customWidth="1"/>
    <col min="15357" max="15357" width="1.88671875" style="2" customWidth="1"/>
    <col min="15358" max="15358" width="13.33203125" style="2" customWidth="1"/>
    <col min="15359" max="15359" width="2.33203125" style="2" customWidth="1"/>
    <col min="15360" max="15360" width="2.109375" style="2" customWidth="1"/>
    <col min="15361" max="15361" width="16.77734375" style="2" customWidth="1"/>
    <col min="15362" max="15362" width="13.6640625" style="2" customWidth="1"/>
    <col min="15363" max="15372" width="8.6640625" style="2" customWidth="1"/>
    <col min="15373" max="15373" width="20.77734375" style="2" customWidth="1"/>
    <col min="15374" max="15602" width="10.21875" style="2"/>
    <col min="15603" max="15604" width="0" style="2" hidden="1" customWidth="1"/>
    <col min="15605" max="15605" width="7.6640625" style="2" customWidth="1"/>
    <col min="15606" max="15606" width="4.21875" style="2" customWidth="1"/>
    <col min="15607" max="15607" width="98" style="2" customWidth="1"/>
    <col min="15608" max="15608" width="16.109375" style="2" customWidth="1"/>
    <col min="15609" max="15609" width="1.88671875" style="2" customWidth="1"/>
    <col min="15610" max="15610" width="15.88671875" style="2" customWidth="1"/>
    <col min="15611" max="15611" width="1.88671875" style="2" customWidth="1"/>
    <col min="15612" max="15612" width="13.33203125" style="2" customWidth="1"/>
    <col min="15613" max="15613" width="1.88671875" style="2" customWidth="1"/>
    <col min="15614" max="15614" width="13.33203125" style="2" customWidth="1"/>
    <col min="15615" max="15615" width="2.33203125" style="2" customWidth="1"/>
    <col min="15616" max="15616" width="2.109375" style="2" customWidth="1"/>
    <col min="15617" max="15617" width="16.77734375" style="2" customWidth="1"/>
    <col min="15618" max="15618" width="13.6640625" style="2" customWidth="1"/>
    <col min="15619" max="15628" width="8.6640625" style="2" customWidth="1"/>
    <col min="15629" max="15629" width="20.77734375" style="2" customWidth="1"/>
    <col min="15630" max="15858" width="10.21875" style="2"/>
    <col min="15859" max="15860" width="0" style="2" hidden="1" customWidth="1"/>
    <col min="15861" max="15861" width="7.6640625" style="2" customWidth="1"/>
    <col min="15862" max="15862" width="4.21875" style="2" customWidth="1"/>
    <col min="15863" max="15863" width="98" style="2" customWidth="1"/>
    <col min="15864" max="15864" width="16.109375" style="2" customWidth="1"/>
    <col min="15865" max="15865" width="1.88671875" style="2" customWidth="1"/>
    <col min="15866" max="15866" width="15.88671875" style="2" customWidth="1"/>
    <col min="15867" max="15867" width="1.88671875" style="2" customWidth="1"/>
    <col min="15868" max="15868" width="13.33203125" style="2" customWidth="1"/>
    <col min="15869" max="15869" width="1.88671875" style="2" customWidth="1"/>
    <col min="15870" max="15870" width="13.33203125" style="2" customWidth="1"/>
    <col min="15871" max="15871" width="2.33203125" style="2" customWidth="1"/>
    <col min="15872" max="15872" width="2.109375" style="2" customWidth="1"/>
    <col min="15873" max="15873" width="16.77734375" style="2" customWidth="1"/>
    <col min="15874" max="15874" width="13.6640625" style="2" customWidth="1"/>
    <col min="15875" max="15884" width="8.6640625" style="2" customWidth="1"/>
    <col min="15885" max="15885" width="20.77734375" style="2" customWidth="1"/>
    <col min="15886" max="16114" width="10.21875" style="2"/>
    <col min="16115" max="16116" width="0" style="2" hidden="1" customWidth="1"/>
    <col min="16117" max="16117" width="7.6640625" style="2" customWidth="1"/>
    <col min="16118" max="16118" width="4.21875" style="2" customWidth="1"/>
    <col min="16119" max="16119" width="98" style="2" customWidth="1"/>
    <col min="16120" max="16120" width="16.109375" style="2" customWidth="1"/>
    <col min="16121" max="16121" width="1.88671875" style="2" customWidth="1"/>
    <col min="16122" max="16122" width="15.88671875" style="2" customWidth="1"/>
    <col min="16123" max="16123" width="1.88671875" style="2" customWidth="1"/>
    <col min="16124" max="16124" width="13.33203125" style="2" customWidth="1"/>
    <col min="16125" max="16125" width="1.88671875" style="2" customWidth="1"/>
    <col min="16126" max="16126" width="13.33203125" style="2" customWidth="1"/>
    <col min="16127" max="16127" width="2.33203125" style="2" customWidth="1"/>
    <col min="16128" max="16128" width="2.109375" style="2" customWidth="1"/>
    <col min="16129" max="16129" width="16.77734375" style="2" customWidth="1"/>
    <col min="16130" max="16130" width="13.6640625" style="2" customWidth="1"/>
    <col min="16131" max="16140" width="8.6640625" style="2" customWidth="1"/>
    <col min="16141" max="16141" width="20.77734375" style="2" customWidth="1"/>
    <col min="16142" max="16384" width="10.21875" style="2"/>
  </cols>
  <sheetData>
    <row r="1" spans="1:19" ht="30">
      <c r="A1" s="2" t="s">
        <v>0</v>
      </c>
      <c r="B1" s="4"/>
      <c r="C1" s="298" t="s">
        <v>1</v>
      </c>
      <c r="D1" s="298"/>
      <c r="E1" s="298"/>
      <c r="F1" s="19"/>
      <c r="G1" s="19"/>
      <c r="H1" s="19"/>
      <c r="I1" s="19"/>
      <c r="J1" s="19"/>
      <c r="K1" s="19"/>
    </row>
    <row r="2" spans="1:19" ht="23.25">
      <c r="A2" s="2" t="s">
        <v>2</v>
      </c>
      <c r="B2" s="4">
        <v>38353</v>
      </c>
      <c r="C2" s="1142" t="s">
        <v>3</v>
      </c>
      <c r="D2" s="1142"/>
      <c r="E2" s="1142"/>
      <c r="F2" s="19"/>
      <c r="G2" s="19"/>
      <c r="H2" s="19"/>
      <c r="I2" s="19"/>
      <c r="J2" s="19"/>
      <c r="K2" s="19"/>
    </row>
    <row r="3" spans="1:19" ht="23.25">
      <c r="A3" s="2" t="s">
        <v>4</v>
      </c>
      <c r="B3" s="4">
        <v>38717</v>
      </c>
      <c r="C3" s="20" t="s">
        <v>5</v>
      </c>
      <c r="D3" s="25"/>
      <c r="E3" s="25"/>
      <c r="F3" s="19"/>
      <c r="G3" s="25"/>
      <c r="H3" s="19"/>
      <c r="I3" s="19"/>
      <c r="J3" s="19"/>
      <c r="K3" s="19"/>
    </row>
    <row r="4" spans="1:19" ht="29.25" customHeight="1">
      <c r="C4" s="29"/>
      <c r="D4" s="21"/>
      <c r="E4" s="16"/>
      <c r="F4" s="16"/>
      <c r="G4" s="16"/>
      <c r="H4" s="16"/>
      <c r="I4" s="16"/>
      <c r="J4" s="16"/>
      <c r="K4" s="16"/>
    </row>
    <row r="5" spans="1:19" s="6" customFormat="1" ht="49.5" customHeight="1" thickBot="1">
      <c r="C5" s="1143"/>
      <c r="D5" s="1143"/>
      <c r="E5" s="1143"/>
      <c r="F5" s="72"/>
      <c r="G5" s="71" t="s">
        <v>6</v>
      </c>
      <c r="H5" s="72"/>
      <c r="I5" s="71" t="s">
        <v>7</v>
      </c>
      <c r="J5" s="72"/>
      <c r="K5" s="71" t="s">
        <v>8</v>
      </c>
      <c r="L5" s="101"/>
      <c r="M5" s="101"/>
      <c r="Q5" s="277" t="s">
        <v>9</v>
      </c>
      <c r="R5" s="277" t="str">
        <f>K6</f>
        <v>3/23 - 2/24</v>
      </c>
    </row>
    <row r="6" spans="1:19" ht="20.25">
      <c r="C6" s="70"/>
      <c r="D6" s="69" t="s">
        <v>17</v>
      </c>
      <c r="E6" s="70"/>
      <c r="F6" s="74"/>
      <c r="G6" s="73" t="s">
        <v>18</v>
      </c>
      <c r="H6" s="74"/>
      <c r="I6" s="276" t="str">
        <f>G6</f>
        <v>3/23 - 2/24</v>
      </c>
      <c r="J6" s="74"/>
      <c r="K6" s="73" t="str">
        <f>G6</f>
        <v>3/23 - 2/24</v>
      </c>
      <c r="L6" s="55"/>
      <c r="M6" s="55"/>
      <c r="P6" s="32" t="s">
        <v>19</v>
      </c>
      <c r="Q6" s="64">
        <f>E8</f>
        <v>100000</v>
      </c>
      <c r="R6" s="388" t="e">
        <f>MAX(0,'2023.06 to 2024.05 LC'!$F11-$Q$6)</f>
        <v>#VALUE!</v>
      </c>
    </row>
    <row r="7" spans="1:19" s="7" customFormat="1" ht="18">
      <c r="A7" s="7" t="s">
        <v>20</v>
      </c>
      <c r="B7" s="7" t="s">
        <v>20</v>
      </c>
      <c r="C7" s="26">
        <v>1</v>
      </c>
      <c r="D7" s="75" t="s">
        <v>21</v>
      </c>
      <c r="E7" s="75"/>
      <c r="F7" s="92"/>
      <c r="G7" s="301">
        <f ca="1">(SUM(OFFSET('Medical &amp; Rx Total'!$D$7,COUNT('Medical &amp; Rx Total'!$D$8:$D$30),0,-12)))+(SUM(OFFSET('Medical &amp; Rx Total'!$H$7,COUNT('Medical &amp; Rx Total'!$H$8:$H$30),0,-12)))</f>
        <v>17995045.890000001</v>
      </c>
      <c r="H7" s="93"/>
      <c r="I7" s="91">
        <f ca="1">(SUM(OFFSET('Medical &amp; Rx Total'!$G$7,COUNT('Medical &amp; Rx Total'!$G$8:$G$30),0,-12)))</f>
        <v>3858201.0899999994</v>
      </c>
      <c r="J7" s="93"/>
      <c r="K7" s="91">
        <f ca="1">+G7+I7</f>
        <v>21853246.98</v>
      </c>
      <c r="L7" s="102"/>
      <c r="M7" s="102"/>
      <c r="P7" s="35" t="s">
        <v>22</v>
      </c>
      <c r="Q7" s="64">
        <f>E9</f>
        <v>70000</v>
      </c>
      <c r="R7" s="389" t="e">
        <f>MAX(0,'2023.06 to 2024.05 LC'!$F12-$Q$6)</f>
        <v>#VALUE!</v>
      </c>
    </row>
    <row r="8" spans="1:19" ht="18">
      <c r="C8" s="26">
        <f>+C7+1</f>
        <v>2</v>
      </c>
      <c r="D8" s="77" t="s">
        <v>23</v>
      </c>
      <c r="E8" s="462">
        <v>100000</v>
      </c>
      <c r="F8" s="95"/>
      <c r="G8" s="95" t="e">
        <f>-($R$226)</f>
        <v>#VALUE!</v>
      </c>
      <c r="H8" s="95"/>
      <c r="I8" s="95">
        <v>0</v>
      </c>
      <c r="J8" s="95"/>
      <c r="K8" s="95" t="e">
        <f>+I8+G8</f>
        <v>#VALUE!</v>
      </c>
      <c r="L8" s="55"/>
      <c r="M8" s="55"/>
      <c r="R8" s="389" t="e">
        <f>MAX(0,'2023.06 to 2024.05 LC'!$F13-$Q$6)</f>
        <v>#VALUE!</v>
      </c>
    </row>
    <row r="9" spans="1:19" ht="18">
      <c r="C9" s="26">
        <f>+C8+1</f>
        <v>3</v>
      </c>
      <c r="D9" s="15" t="s">
        <v>24</v>
      </c>
      <c r="E9" s="463">
        <v>70000</v>
      </c>
      <c r="F9" s="92"/>
      <c r="G9" s="91" t="e">
        <f ca="1">+G7+G8</f>
        <v>#VALUE!</v>
      </c>
      <c r="H9" s="93"/>
      <c r="I9" s="91">
        <f ca="1">+I8+I7</f>
        <v>3858201.0899999994</v>
      </c>
      <c r="J9" s="93"/>
      <c r="K9" s="91" t="e">
        <f ca="1">+K8+K7</f>
        <v>#VALUE!</v>
      </c>
      <c r="L9" s="55"/>
      <c r="M9" s="55"/>
      <c r="R9" s="389" t="e">
        <f>MAX(0,'2023.06 to 2024.05 LC'!$F14-$Q$6)</f>
        <v>#VALUE!</v>
      </c>
    </row>
    <row r="10" spans="1:19" ht="18">
      <c r="C10" s="26">
        <f>+C9+1</f>
        <v>4</v>
      </c>
      <c r="D10" s="76" t="s">
        <v>26</v>
      </c>
      <c r="E10" s="14"/>
      <c r="F10" s="95"/>
      <c r="G10" s="95">
        <f ca="1">(SUM(OFFSET('Medical &amp; Rx Total'!$B$7,COUNT('Medical &amp; Rx Total'!$B$8:$B$30),0,-13)))-(SUM(OFFSET('Medical &amp; Rx Total'!$B$7,COUNT('Medical &amp; Rx Total'!$B$8:$B$30),0,-1)))</f>
        <v>6948</v>
      </c>
      <c r="H10" s="96"/>
      <c r="I10" s="95">
        <f ca="1">+G10</f>
        <v>6948</v>
      </c>
      <c r="J10" s="95"/>
      <c r="K10" s="95">
        <f ca="1">+G10</f>
        <v>6948</v>
      </c>
      <c r="L10" s="55"/>
      <c r="M10" s="55"/>
      <c r="Q10" s="102"/>
      <c r="R10" s="389" t="e">
        <f>MAX(0,'2023.06 to 2024.05 LC'!$F15-$Q$6)</f>
        <v>#VALUE!</v>
      </c>
    </row>
    <row r="11" spans="1:19" ht="18">
      <c r="C11" s="26">
        <f>+C10+1</f>
        <v>5</v>
      </c>
      <c r="D11" s="67" t="s">
        <v>27</v>
      </c>
      <c r="E11" s="14"/>
      <c r="F11" s="98"/>
      <c r="G11" s="97" t="e">
        <f ca="1">+G9/G10</f>
        <v>#VALUE!</v>
      </c>
      <c r="H11" s="98"/>
      <c r="I11" s="97">
        <f ca="1">+I9/I10</f>
        <v>555.29664507772009</v>
      </c>
      <c r="J11" s="98"/>
      <c r="K11" s="97" t="e">
        <f ca="1">+K9/K10</f>
        <v>#VALUE!</v>
      </c>
      <c r="L11" s="55"/>
      <c r="M11" s="55"/>
      <c r="R11" s="389" t="e">
        <f>MAX(0,'2023.06 to 2024.05 LC'!$F16-$Q$6)</f>
        <v>#VALUE!</v>
      </c>
    </row>
    <row r="12" spans="1:19" ht="9" customHeight="1">
      <c r="C12" s="26" t="s">
        <v>20</v>
      </c>
      <c r="D12" s="16"/>
      <c r="E12" s="16"/>
      <c r="F12" s="92"/>
      <c r="G12" s="55"/>
      <c r="H12" s="55"/>
      <c r="I12" s="55"/>
      <c r="J12" s="55"/>
      <c r="K12" s="55"/>
      <c r="L12" s="55"/>
      <c r="M12" s="55"/>
      <c r="R12" s="389" t="e">
        <f>MAX(0,'2023.06 to 2024.05 LC'!$F17-$Q$6)</f>
        <v>#VALUE!</v>
      </c>
      <c r="S12" s="2" t="s">
        <v>20</v>
      </c>
    </row>
    <row r="13" spans="1:19" ht="20.25">
      <c r="C13" s="68"/>
      <c r="D13" s="69" t="s">
        <v>28</v>
      </c>
      <c r="E13" s="402"/>
      <c r="F13" s="90"/>
      <c r="G13" s="100"/>
      <c r="H13" s="90"/>
      <c r="I13" s="100"/>
      <c r="J13" s="90"/>
      <c r="K13" s="100"/>
      <c r="L13" s="55"/>
      <c r="M13" s="55"/>
      <c r="Q13" s="102"/>
      <c r="R13" s="389" t="e">
        <f>MAX(0,'2023.06 to 2024.05 LC'!$F18-$Q$6)</f>
        <v>#VALUE!</v>
      </c>
    </row>
    <row r="14" spans="1:19" ht="18">
      <c r="C14" s="26">
        <f>C11+1</f>
        <v>6</v>
      </c>
      <c r="D14" s="15" t="s">
        <v>29</v>
      </c>
      <c r="E14" s="14"/>
      <c r="F14" s="92"/>
      <c r="G14" s="91">
        <v>150000</v>
      </c>
      <c r="H14" s="91"/>
      <c r="I14" s="91">
        <v>0</v>
      </c>
      <c r="J14" s="93"/>
      <c r="K14" s="91">
        <f>+I14+G14</f>
        <v>150000</v>
      </c>
      <c r="M14" s="465" t="s">
        <v>30</v>
      </c>
      <c r="R14" s="389" t="e">
        <f>MAX(0,'2023.06 to 2024.05 LC'!$F19-$Q$6)</f>
        <v>#VALUE!</v>
      </c>
    </row>
    <row r="15" spans="1:19" ht="18">
      <c r="C15" s="26">
        <f>+C14+1</f>
        <v>7</v>
      </c>
      <c r="D15" s="1144" t="s">
        <v>31</v>
      </c>
      <c r="E15" s="1144"/>
      <c r="F15" s="92"/>
      <c r="G15" s="92">
        <v>0</v>
      </c>
      <c r="H15" s="101"/>
      <c r="I15" s="92">
        <v>0</v>
      </c>
      <c r="J15" s="92"/>
      <c r="K15" s="92">
        <f>+I15+G15</f>
        <v>0</v>
      </c>
      <c r="L15" s="55"/>
      <c r="M15" s="55"/>
      <c r="R15" s="389" t="e">
        <f>MAX(0,'2023.06 to 2024.05 LC'!$F20-$Q$6)</f>
        <v>#VALUE!</v>
      </c>
    </row>
    <row r="16" spans="1:19" ht="18">
      <c r="C16" s="26">
        <f>+C15+1</f>
        <v>8</v>
      </c>
      <c r="D16" s="14" t="s">
        <v>32</v>
      </c>
      <c r="E16" s="14"/>
      <c r="F16" s="95"/>
      <c r="G16" s="95">
        <f>-($R$227*$Q$6)+(-$Q$7)</f>
        <v>-70000</v>
      </c>
      <c r="H16" s="302"/>
      <c r="I16" s="95">
        <v>0</v>
      </c>
      <c r="J16" s="95"/>
      <c r="K16" s="95">
        <f>+I16+G16</f>
        <v>-70000</v>
      </c>
      <c r="L16" s="55"/>
      <c r="M16" s="55"/>
      <c r="Q16" s="102"/>
      <c r="R16" s="389" t="e">
        <f>MAX(0,'2023.06 to 2024.05 LC'!$F21-$Q$6)</f>
        <v>#VALUE!</v>
      </c>
    </row>
    <row r="17" spans="1:18" ht="18">
      <c r="C17" s="26">
        <f>+C16+1</f>
        <v>9</v>
      </c>
      <c r="D17" s="76" t="s">
        <v>33</v>
      </c>
      <c r="E17" s="14"/>
      <c r="F17" s="92"/>
      <c r="G17" s="91" t="e">
        <f ca="1">+G16+G15+G14+G9</f>
        <v>#VALUE!</v>
      </c>
      <c r="H17" s="92"/>
      <c r="I17" s="91">
        <f ca="1">+I16+I15+I14+I9</f>
        <v>3858201.0899999994</v>
      </c>
      <c r="J17" s="92"/>
      <c r="K17" s="91" t="e">
        <f ca="1">+I17+G17</f>
        <v>#VALUE!</v>
      </c>
      <c r="L17" s="55"/>
      <c r="M17" s="55"/>
      <c r="R17" s="389" t="e">
        <f>MAX(0,'2023.06 to 2024.05 LC'!$F22-$Q$6)</f>
        <v>#VALUE!</v>
      </c>
    </row>
    <row r="18" spans="1:18" ht="9" customHeight="1">
      <c r="C18" s="26"/>
      <c r="D18" s="76"/>
      <c r="E18" s="14"/>
      <c r="F18" s="92"/>
      <c r="G18" s="91"/>
      <c r="H18" s="92"/>
      <c r="I18" s="91"/>
      <c r="J18" s="92"/>
      <c r="K18" s="91"/>
      <c r="L18" s="55"/>
      <c r="M18" s="55"/>
      <c r="R18" s="389" t="e">
        <f>MAX(0,'2023.06 to 2024.05 LC'!$F23-$Q$6)</f>
        <v>#VALUE!</v>
      </c>
    </row>
    <row r="19" spans="1:18" ht="18">
      <c r="C19" s="26">
        <f>C17+1</f>
        <v>10</v>
      </c>
      <c r="D19" s="14" t="s">
        <v>34</v>
      </c>
      <c r="E19" s="14"/>
      <c r="F19" s="101"/>
      <c r="G19" s="103">
        <v>0.08</v>
      </c>
      <c r="H19" s="101"/>
      <c r="I19" s="103">
        <v>8.5000000000000006E-2</v>
      </c>
      <c r="J19" s="101"/>
      <c r="K19" s="103" t="e">
        <f ca="1">+((G19*G17)+(I19*I17))/K17</f>
        <v>#VALUE!</v>
      </c>
      <c r="L19" s="55"/>
      <c r="M19" s="55"/>
      <c r="Q19" s="102"/>
      <c r="R19" s="389" t="e">
        <f>MAX(0,'2023.06 to 2024.05 LC'!$F24-$Q$6)</f>
        <v>#VALUE!</v>
      </c>
    </row>
    <row r="20" spans="1:18" ht="18">
      <c r="B20" s="2">
        <v>10</v>
      </c>
      <c r="C20" s="26">
        <f>C19+1</f>
        <v>11</v>
      </c>
      <c r="D20" s="77" t="s">
        <v>35</v>
      </c>
      <c r="F20" s="303"/>
      <c r="G20" s="304">
        <f>(12+(12-COUNT('Medical &amp; Rx Total'!$B$19:$B$30)))+1</f>
        <v>20</v>
      </c>
      <c r="H20" s="305"/>
      <c r="I20" s="304">
        <f>+G20</f>
        <v>20</v>
      </c>
      <c r="J20" s="305"/>
      <c r="K20" s="304">
        <f>+G20</f>
        <v>20</v>
      </c>
      <c r="M20" s="55"/>
      <c r="R20" s="389" t="e">
        <f>MAX(0,'2023.06 to 2024.05 LC'!$F25-$Q$6)</f>
        <v>#VALUE!</v>
      </c>
    </row>
    <row r="21" spans="1:18" s="8" customFormat="1" ht="18">
      <c r="C21" s="26">
        <f>C20+1</f>
        <v>12</v>
      </c>
      <c r="D21" s="78" t="s">
        <v>36</v>
      </c>
      <c r="E21" s="22"/>
      <c r="F21" s="91"/>
      <c r="G21" s="104">
        <f>+((1+G19)^(G20/12))-1</f>
        <v>0.13685809661716242</v>
      </c>
      <c r="H21" s="91"/>
      <c r="I21" s="104">
        <f>+((1+I19)^(I20/12))-1</f>
        <v>0.14564367999814354</v>
      </c>
      <c r="J21" s="91"/>
      <c r="K21" s="104" t="e">
        <f ca="1">+((1+K19)^(K20/12))-1</f>
        <v>#VALUE!</v>
      </c>
      <c r="L21" s="105"/>
      <c r="M21" s="105"/>
      <c r="Q21" s="55"/>
      <c r="R21" s="389" t="e">
        <f>MAX(0,'2023.06 to 2024.05 LC'!$F26-$Q$6)</f>
        <v>#VALUE!</v>
      </c>
    </row>
    <row r="22" spans="1:18" s="8" customFormat="1" ht="18">
      <c r="C22" s="26">
        <f>C21+1</f>
        <v>13</v>
      </c>
      <c r="D22" s="78" t="s">
        <v>37</v>
      </c>
      <c r="E22" s="22"/>
      <c r="F22" s="91"/>
      <c r="G22" s="91" t="e">
        <f ca="1">+(1+G21)*G17</f>
        <v>#VALUE!</v>
      </c>
      <c r="H22" s="91"/>
      <c r="I22" s="91">
        <f ca="1">+(1+I21)*I17</f>
        <v>4420123.6949204477</v>
      </c>
      <c r="J22" s="91"/>
      <c r="K22" s="91" t="e">
        <f ca="1">+I22+G22</f>
        <v>#VALUE!</v>
      </c>
      <c r="L22" s="105"/>
      <c r="M22" s="105"/>
      <c r="Q22" s="102"/>
      <c r="R22" s="389" t="e">
        <f>MAX(0,'2023.06 to 2024.05 LC'!$F27-$Q$6)</f>
        <v>#VALUE!</v>
      </c>
    </row>
    <row r="23" spans="1:18" ht="18">
      <c r="C23" s="26">
        <f>+C22+1</f>
        <v>14</v>
      </c>
      <c r="D23" s="14" t="s">
        <v>38</v>
      </c>
      <c r="E23" s="14"/>
      <c r="F23" s="96"/>
      <c r="G23" s="95">
        <f>-G16</f>
        <v>70000</v>
      </c>
      <c r="H23" s="96"/>
      <c r="I23" s="95">
        <v>0</v>
      </c>
      <c r="J23" s="96"/>
      <c r="K23" s="95">
        <f>+I23+G23</f>
        <v>70000</v>
      </c>
      <c r="L23" s="55"/>
      <c r="M23" s="55"/>
      <c r="R23" s="389" t="e">
        <f>MAX(0,'2023.06 to 2024.05 LC'!$F28-$Q$6)</f>
        <v>#VALUE!</v>
      </c>
    </row>
    <row r="24" spans="1:18" ht="18">
      <c r="C24" s="26">
        <f>C23+1</f>
        <v>15</v>
      </c>
      <c r="D24" s="78" t="s">
        <v>39</v>
      </c>
      <c r="E24" s="23"/>
      <c r="F24" s="92"/>
      <c r="G24" s="91" t="e">
        <f ca="1">+G23+G22</f>
        <v>#VALUE!</v>
      </c>
      <c r="H24" s="92"/>
      <c r="I24" s="91">
        <f ca="1">+I23+I22</f>
        <v>4420123.6949204477</v>
      </c>
      <c r="J24" s="92"/>
      <c r="K24" s="91" t="e">
        <f ca="1">+I24+G24+M24</f>
        <v>#VALUE!</v>
      </c>
      <c r="L24" s="55"/>
      <c r="M24" s="56"/>
      <c r="R24" s="389" t="e">
        <f>MAX(0,'2023.06 to 2024.05 LC'!$F29-$Q$6)</f>
        <v>#VALUE!</v>
      </c>
    </row>
    <row r="25" spans="1:18" ht="18">
      <c r="C25" s="87">
        <f>+C24+1</f>
        <v>16</v>
      </c>
      <c r="D25" s="88" t="s">
        <v>40</v>
      </c>
      <c r="E25" s="6"/>
      <c r="F25" s="98"/>
      <c r="G25" s="97" t="e">
        <f ca="1">+G24/G10</f>
        <v>#VALUE!</v>
      </c>
      <c r="H25" s="98"/>
      <c r="I25" s="97">
        <f ca="1">+I24/I10</f>
        <v>636.17209195746227</v>
      </c>
      <c r="J25" s="98"/>
      <c r="K25" s="97" t="e">
        <f ca="1">+K24/K10</f>
        <v>#VALUE!</v>
      </c>
      <c r="L25" s="55"/>
      <c r="M25" s="55"/>
      <c r="Q25" s="102"/>
      <c r="R25" s="389" t="e">
        <f>MAX(0,'2023.06 to 2024.05 LC'!$F30-$Q$6)</f>
        <v>#VALUE!</v>
      </c>
    </row>
    <row r="26" spans="1:18" ht="18">
      <c r="C26" s="87">
        <f>+C25+1</f>
        <v>17</v>
      </c>
      <c r="D26" s="89" t="s">
        <v>41</v>
      </c>
      <c r="E26" s="6"/>
      <c r="F26" s="103"/>
      <c r="G26" s="104"/>
      <c r="H26" s="103"/>
      <c r="I26" s="104" t="s">
        <v>20</v>
      </c>
      <c r="J26" s="103"/>
      <c r="K26" s="103">
        <v>1</v>
      </c>
      <c r="L26" s="55"/>
      <c r="M26" s="55"/>
      <c r="R26" s="389" t="e">
        <f>MAX(0,'2023.06 to 2024.05 LC'!$F31-$Q$6)</f>
        <v>#VALUE!</v>
      </c>
    </row>
    <row r="27" spans="1:18" ht="16.5" customHeight="1">
      <c r="C27" s="87">
        <f>+C26+1</f>
        <v>18</v>
      </c>
      <c r="D27" s="89" t="s">
        <v>42</v>
      </c>
      <c r="E27" s="6"/>
      <c r="F27" s="92"/>
      <c r="G27" s="91" t="s">
        <v>20</v>
      </c>
      <c r="H27" s="92"/>
      <c r="I27" s="91"/>
      <c r="J27" s="92"/>
      <c r="K27" s="97" t="e">
        <f ca="1">+(K26*K25)</f>
        <v>#VALUE!</v>
      </c>
      <c r="L27" s="55"/>
      <c r="M27" s="55"/>
      <c r="R27" s="389" t="e">
        <f>MAX(0,'2023.06 to 2024.05 LC'!$F32-$Q$6)</f>
        <v>#VALUE!</v>
      </c>
    </row>
    <row r="28" spans="1:18" s="12" customFormat="1" ht="9" customHeight="1">
      <c r="C28" s="79"/>
      <c r="D28" s="80"/>
      <c r="E28" s="81"/>
      <c r="F28" s="94"/>
      <c r="G28" s="93"/>
      <c r="H28" s="94"/>
      <c r="I28" s="93"/>
      <c r="J28" s="94"/>
      <c r="K28" s="93"/>
      <c r="L28" s="99"/>
      <c r="M28" s="99"/>
      <c r="Q28" s="102"/>
      <c r="R28" s="389" t="e">
        <f>MAX(0,'2023.06 to 2024.05 LC'!$F33-$Q$6)</f>
        <v>#VALUE!</v>
      </c>
    </row>
    <row r="29" spans="1:18" ht="20.25">
      <c r="A29" s="11" t="e">
        <f>#REF!</f>
        <v>#REF!</v>
      </c>
      <c r="B29" s="11"/>
      <c r="C29" s="68"/>
      <c r="D29" s="69" t="s">
        <v>43</v>
      </c>
      <c r="E29" s="70"/>
      <c r="F29" s="90"/>
      <c r="G29" s="90"/>
      <c r="H29" s="90"/>
      <c r="I29" s="90"/>
      <c r="J29" s="90"/>
      <c r="K29" s="73"/>
      <c r="L29" s="55"/>
      <c r="M29" s="55"/>
      <c r="R29" s="389" t="e">
        <f>MAX(0,'2023.06 to 2024.05 LC'!$F34-$Q$6)</f>
        <v>#VALUE!</v>
      </c>
    </row>
    <row r="30" spans="1:18" s="8" customFormat="1" ht="18">
      <c r="A30" s="11" t="e">
        <f>#REF!</f>
        <v>#REF!</v>
      </c>
      <c r="B30" s="11"/>
      <c r="C30" s="26">
        <f>+C27+1</f>
        <v>19</v>
      </c>
      <c r="D30" s="13" t="s">
        <v>44</v>
      </c>
      <c r="E30" s="22"/>
      <c r="F30" s="59"/>
      <c r="G30" s="59">
        <f>34.39</f>
        <v>34.39</v>
      </c>
      <c r="H30" s="106"/>
      <c r="I30" s="59">
        <f>5.19*1.05</f>
        <v>5.4495000000000005</v>
      </c>
      <c r="J30" s="59"/>
      <c r="K30" s="59">
        <f t="shared" ref="K30:K35" si="0">SUM(G30:I30)</f>
        <v>39.839500000000001</v>
      </c>
      <c r="L30" s="105"/>
      <c r="M30" s="105"/>
      <c r="Q30" s="55"/>
      <c r="R30" s="389" t="e">
        <f>MAX(0,'2023.06 to 2024.05 LC'!$F35-$Q$6)</f>
        <v>#VALUE!</v>
      </c>
    </row>
    <row r="31" spans="1:18" s="8" customFormat="1" ht="18">
      <c r="A31" s="11"/>
      <c r="B31" s="11"/>
      <c r="C31" s="26">
        <f>+C30+1</f>
        <v>20</v>
      </c>
      <c r="D31" s="13" t="s">
        <v>45</v>
      </c>
      <c r="E31" s="22"/>
      <c r="F31" s="59"/>
      <c r="G31" s="60">
        <v>10</v>
      </c>
      <c r="H31" s="309"/>
      <c r="I31" s="60" t="s">
        <v>46</v>
      </c>
      <c r="J31" s="60"/>
      <c r="K31" s="60">
        <f t="shared" si="0"/>
        <v>10</v>
      </c>
      <c r="L31" s="105"/>
      <c r="M31" s="105"/>
      <c r="Q31" s="55"/>
      <c r="R31" s="389" t="e">
        <f>MAX(0,'2023.06 to 2024.05 LC'!$F36-$Q$6)</f>
        <v>#VALUE!</v>
      </c>
    </row>
    <row r="32" spans="1:18" s="8" customFormat="1" ht="18">
      <c r="A32" s="11"/>
      <c r="B32" s="11"/>
      <c r="C32" s="26">
        <f>+C31+1</f>
        <v>21</v>
      </c>
      <c r="D32" s="13" t="s">
        <v>47</v>
      </c>
      <c r="E32" s="22"/>
      <c r="F32" s="59"/>
      <c r="G32" s="60">
        <f>3.75+0.45+1.35+1</f>
        <v>6.5500000000000007</v>
      </c>
      <c r="H32" s="309"/>
      <c r="I32" s="60" t="s">
        <v>46</v>
      </c>
      <c r="J32" s="60"/>
      <c r="K32" s="60">
        <f t="shared" si="0"/>
        <v>6.5500000000000007</v>
      </c>
      <c r="L32" s="105"/>
      <c r="M32" s="105"/>
      <c r="Q32" s="55"/>
      <c r="R32" s="389" t="e">
        <f>MAX(0,'2023.06 to 2024.05 LC'!$F37-$Q$6)</f>
        <v>#VALUE!</v>
      </c>
    </row>
    <row r="33" spans="1:18" s="8" customFormat="1" ht="18">
      <c r="A33" s="11"/>
      <c r="B33" s="11"/>
      <c r="C33" s="26">
        <f>+C32+1</f>
        <v>22</v>
      </c>
      <c r="D33" s="13" t="s">
        <v>48</v>
      </c>
      <c r="E33" s="22"/>
      <c r="F33" s="59"/>
      <c r="G33" s="60">
        <v>15.17</v>
      </c>
      <c r="H33" s="309"/>
      <c r="I33" s="60" t="s">
        <v>46</v>
      </c>
      <c r="J33" s="60"/>
      <c r="K33" s="60">
        <f t="shared" si="0"/>
        <v>15.17</v>
      </c>
      <c r="L33" s="105"/>
      <c r="M33" s="105"/>
      <c r="Q33" s="55"/>
      <c r="R33" s="389" t="e">
        <f>MAX(0,'2023.06 to 2024.05 LC'!$F38-$Q$6)</f>
        <v>#VALUE!</v>
      </c>
    </row>
    <row r="34" spans="1:18" s="8" customFormat="1" ht="18">
      <c r="A34" s="11"/>
      <c r="B34" s="11"/>
      <c r="C34" s="26">
        <f>+C33+1</f>
        <v>23</v>
      </c>
      <c r="D34" s="15" t="s">
        <v>49</v>
      </c>
      <c r="E34" s="22"/>
      <c r="F34" s="91"/>
      <c r="G34" s="60" t="s">
        <v>46</v>
      </c>
      <c r="H34" s="309"/>
      <c r="I34" s="60">
        <f>-45.29*1.05</f>
        <v>-47.554500000000004</v>
      </c>
      <c r="J34" s="60"/>
      <c r="K34" s="60">
        <f t="shared" si="0"/>
        <v>-47.554500000000004</v>
      </c>
      <c r="L34" s="105"/>
      <c r="M34" s="105"/>
      <c r="Q34" s="102"/>
      <c r="R34" s="389" t="e">
        <f>MAX(0,'2023.06 to 2024.05 LC'!$F39-$Q$6)</f>
        <v>#VALUE!</v>
      </c>
    </row>
    <row r="35" spans="1:18" ht="18">
      <c r="A35" s="11"/>
      <c r="B35" s="11"/>
      <c r="C35" s="26">
        <f>C34+1</f>
        <v>24</v>
      </c>
      <c r="D35" s="22" t="str">
        <f>TEXT(P6,"$#,##0")&amp;" - "&amp;TEXT(Q6,"$#,##0") &amp;"    "&amp;TEXT(P7,"$#,##0")&amp;" - "&amp;TEXT(Q7,"$#,##0")</f>
        <v>Specific Stop-Loss - $100,000    Aggregating Specific - $70,000</v>
      </c>
      <c r="E35" s="22"/>
      <c r="F35" s="107"/>
      <c r="G35" s="108">
        <v>249.56732269984667</v>
      </c>
      <c r="H35" s="109"/>
      <c r="I35" s="108" t="s">
        <v>46</v>
      </c>
      <c r="J35" s="108"/>
      <c r="K35" s="108">
        <f t="shared" si="0"/>
        <v>249.56732269984667</v>
      </c>
      <c r="L35" s="55"/>
      <c r="M35" s="55"/>
      <c r="R35" s="389" t="e">
        <f>MAX(0,'2023.06 to 2024.05 LC'!$F41-$Q$6)</f>
        <v>#VALUE!</v>
      </c>
    </row>
    <row r="36" spans="1:18" s="5" customFormat="1" ht="17.45" customHeight="1">
      <c r="B36" s="9"/>
      <c r="C36" s="26">
        <f>+C35+1</f>
        <v>25</v>
      </c>
      <c r="D36" s="23" t="s">
        <v>50</v>
      </c>
      <c r="E36" s="82"/>
      <c r="F36" s="57"/>
      <c r="G36" s="97">
        <f>SUM(G30:G35)</f>
        <v>315.67732269984668</v>
      </c>
      <c r="H36" s="110"/>
      <c r="I36" s="97">
        <f>SUM(I30:I35)</f>
        <v>-42.105000000000004</v>
      </c>
      <c r="J36" s="110"/>
      <c r="K36" s="97">
        <f>SUM(K30:K35)</f>
        <v>273.57232269984667</v>
      </c>
      <c r="L36" s="111"/>
      <c r="M36" s="306"/>
      <c r="N36" s="307"/>
      <c r="Q36" s="55"/>
      <c r="R36" s="389" t="e">
        <f>MAX(0,'2023.06 to 2024.05 LC'!$F42-$Q$6)</f>
        <v>#VALUE!</v>
      </c>
    </row>
    <row r="37" spans="1:18" ht="9" customHeight="1">
      <c r="C37" s="26"/>
      <c r="D37" s="24"/>
      <c r="E37" s="28"/>
      <c r="F37" s="58"/>
      <c r="G37" s="112"/>
      <c r="H37" s="112"/>
      <c r="I37" s="112"/>
      <c r="J37" s="112"/>
      <c r="K37" s="112"/>
      <c r="L37" s="113"/>
      <c r="M37" s="55"/>
      <c r="R37" s="389"/>
    </row>
    <row r="38" spans="1:18" ht="20.85" customHeight="1">
      <c r="C38" s="68">
        <f>C36+1</f>
        <v>26</v>
      </c>
      <c r="D38" s="69" t="s">
        <v>51</v>
      </c>
      <c r="E38" s="86"/>
      <c r="F38" s="115"/>
      <c r="G38" s="114" t="e">
        <f ca="1">+G36+G25</f>
        <v>#VALUE!</v>
      </c>
      <c r="H38" s="115"/>
      <c r="I38" s="114">
        <f ca="1">+I36+I25</f>
        <v>594.06709195746225</v>
      </c>
      <c r="J38" s="115"/>
      <c r="K38" s="114" t="e">
        <f ca="1">+K36+K27</f>
        <v>#VALUE!</v>
      </c>
      <c r="L38" s="113"/>
      <c r="M38" s="55"/>
      <c r="Q38" s="102"/>
      <c r="R38" s="389"/>
    </row>
    <row r="39" spans="1:18" ht="9" customHeight="1">
      <c r="C39" s="26"/>
      <c r="D39" s="28"/>
      <c r="E39" s="28"/>
      <c r="F39" s="58"/>
      <c r="G39" s="112"/>
      <c r="H39" s="112"/>
      <c r="I39" s="112"/>
      <c r="J39" s="112"/>
      <c r="K39" s="112"/>
      <c r="L39" s="113"/>
      <c r="M39" s="55"/>
      <c r="R39" s="389"/>
    </row>
    <row r="40" spans="1:18" ht="17.45" customHeight="1">
      <c r="C40" s="26">
        <f>+C38+1</f>
        <v>27</v>
      </c>
      <c r="D40" s="23" t="s">
        <v>52</v>
      </c>
      <c r="E40" s="14"/>
      <c r="F40" s="116"/>
      <c r="G40" s="117"/>
      <c r="H40" s="117"/>
      <c r="I40" s="117"/>
      <c r="J40" s="117"/>
      <c r="K40" s="61">
        <f ca="1">(SUM(OFFSET('Medical &amp; Rx Total'!$C$7,COUNT('Medical &amp; Rx Total'!$C$8:$C$30),0,-1)))/(SUM(OFFSET('Medical &amp; Rx Total'!$B$7,COUNT('Medical &amp; Rx Total'!$B$8:$B$30),0,-1)))</f>
        <v>1838.9992140468228</v>
      </c>
      <c r="L40" s="118"/>
      <c r="M40" s="55"/>
      <c r="R40" s="389"/>
    </row>
    <row r="41" spans="1:18" ht="9" customHeight="1">
      <c r="C41" s="26"/>
      <c r="D41" s="28"/>
      <c r="E41" s="28"/>
      <c r="F41" s="58"/>
      <c r="G41" s="58"/>
      <c r="H41" s="58"/>
      <c r="I41" s="58"/>
      <c r="J41" s="58"/>
      <c r="K41" s="58"/>
      <c r="L41" s="113"/>
      <c r="M41" s="55"/>
      <c r="Q41" s="102"/>
      <c r="R41" s="389" t="e">
        <f>MAX(0,'2023.06 to 2024.05 LC'!$F47-$Q$6)</f>
        <v>#VALUE!</v>
      </c>
    </row>
    <row r="42" spans="1:18" ht="20.85" customHeight="1">
      <c r="C42" s="26"/>
      <c r="D42" s="24" t="s">
        <v>53</v>
      </c>
      <c r="E42" s="28"/>
      <c r="F42" s="58"/>
      <c r="G42" s="58"/>
      <c r="H42" s="58"/>
      <c r="I42" s="58"/>
      <c r="J42" s="58"/>
      <c r="K42" s="58" t="s">
        <v>20</v>
      </c>
      <c r="L42" s="113"/>
      <c r="M42" s="55"/>
      <c r="R42" s="389" t="e">
        <f>MAX(0,'2023.06 to 2024.05 LC'!$F48-$Q$6)</f>
        <v>#VALUE!</v>
      </c>
    </row>
    <row r="43" spans="1:18" s="31" customFormat="1" ht="17.45" customHeight="1">
      <c r="C43" s="68">
        <f>+C40+1</f>
        <v>28</v>
      </c>
      <c r="D43" s="69" t="s">
        <v>54</v>
      </c>
      <c r="E43" s="86"/>
      <c r="F43" s="115"/>
      <c r="G43" s="114" t="s">
        <v>20</v>
      </c>
      <c r="H43" s="115"/>
      <c r="I43" s="114"/>
      <c r="J43" s="115"/>
      <c r="K43" s="297" t="e">
        <f ca="1">+K38/K40-1</f>
        <v>#VALUE!</v>
      </c>
      <c r="L43" s="119"/>
      <c r="M43" s="119"/>
      <c r="Q43" s="55"/>
      <c r="R43" s="389" t="e">
        <f>MAX(0,'2023.06 to 2024.05 LC'!$F49-$Q$6)</f>
        <v>#VALUE!</v>
      </c>
    </row>
    <row r="44" spans="1:18" s="16" customFormat="1" ht="17.45" customHeight="1">
      <c r="C44" s="26">
        <f>+C43+1</f>
        <v>29</v>
      </c>
      <c r="D44" s="14" t="s">
        <v>55</v>
      </c>
      <c r="E44" s="14"/>
      <c r="F44" s="30"/>
      <c r="G44" s="120"/>
      <c r="H44" s="30"/>
      <c r="I44" s="120"/>
      <c r="J44" s="30"/>
      <c r="K44" s="120" t="e">
        <f ca="1">+((K27*1.015)+$K$36)/$K$40-1</f>
        <v>#VALUE!</v>
      </c>
      <c r="L44" s="49"/>
      <c r="M44" s="49"/>
      <c r="Q44" s="102"/>
      <c r="R44" s="389" t="e">
        <f>MAX(0,'2023.06 to 2024.05 LC'!$F50-$Q$6)</f>
        <v>#VALUE!</v>
      </c>
    </row>
    <row r="45" spans="1:18" s="16" customFormat="1" ht="17.45" customHeight="1">
      <c r="C45" s="26">
        <f>+C44+1</f>
        <v>30</v>
      </c>
      <c r="D45" s="14" t="s">
        <v>56</v>
      </c>
      <c r="E45" s="14"/>
      <c r="F45" s="30"/>
      <c r="G45" s="120"/>
      <c r="H45" s="30"/>
      <c r="I45" s="120"/>
      <c r="J45" s="30"/>
      <c r="K45" s="120" t="e">
        <f ca="1">+((K27*1.03)+$K$36)/$K$40-1</f>
        <v>#VALUE!</v>
      </c>
      <c r="L45" s="49"/>
      <c r="M45" s="49"/>
      <c r="Q45" s="55"/>
      <c r="R45" s="389" t="e">
        <f>MAX(0,'2023.06 to 2024.05 LC'!$F51-$Q$6)</f>
        <v>#VALUE!</v>
      </c>
    </row>
    <row r="46" spans="1:18" s="16" customFormat="1" ht="17.45" customHeight="1">
      <c r="C46" s="26">
        <f>+C45+1</f>
        <v>31</v>
      </c>
      <c r="D46" s="14" t="s">
        <v>57</v>
      </c>
      <c r="E46" s="14"/>
      <c r="F46" s="30"/>
      <c r="G46" s="30"/>
      <c r="H46" s="30"/>
      <c r="I46" s="30"/>
      <c r="J46" s="30"/>
      <c r="K46" s="120" t="e">
        <f ca="1">+((K27*1.05)+$K$36)/$K$40-1</f>
        <v>#VALUE!</v>
      </c>
      <c r="L46" s="49"/>
      <c r="M46" s="49"/>
      <c r="Q46" s="55"/>
      <c r="R46" s="389" t="e">
        <f>MAX(0,'2023.06 to 2024.05 LC'!$F52-$Q$6)</f>
        <v>#VALUE!</v>
      </c>
    </row>
    <row r="47" spans="1:18" hidden="1">
      <c r="C47" s="83">
        <f>+C46+1</f>
        <v>32</v>
      </c>
      <c r="D47" s="84" t="s">
        <v>58</v>
      </c>
      <c r="E47" s="84"/>
      <c r="F47" s="121"/>
      <c r="G47" s="121"/>
      <c r="H47" s="121"/>
      <c r="I47" s="121"/>
      <c r="J47" s="121"/>
      <c r="K47" s="122" t="e">
        <f ca="1">+K44</f>
        <v>#VALUE!</v>
      </c>
      <c r="L47" s="55"/>
      <c r="M47" s="55"/>
      <c r="Q47" s="102"/>
      <c r="R47" s="389" t="e">
        <f>MAX(0,'2023.06 to 2024.05 LC'!$F53-$Q$6)</f>
        <v>#VALUE!</v>
      </c>
    </row>
    <row r="48" spans="1:18">
      <c r="C48" s="85"/>
      <c r="F48" s="55"/>
      <c r="G48" s="55"/>
      <c r="H48" s="55"/>
      <c r="I48" s="55"/>
      <c r="J48" s="55"/>
      <c r="K48" s="55" t="s">
        <v>20</v>
      </c>
      <c r="L48" s="55"/>
      <c r="M48" s="55"/>
      <c r="R48" s="389" t="e">
        <f>MAX(0,'2023.06 to 2024.05 LC'!$F54-$Q$6)</f>
        <v>#VALUE!</v>
      </c>
    </row>
    <row r="49" spans="3:18">
      <c r="C49" s="85" t="s">
        <v>59</v>
      </c>
      <c r="F49" s="55"/>
      <c r="G49" s="55"/>
      <c r="H49" s="55"/>
      <c r="I49" s="55"/>
      <c r="J49" s="55"/>
      <c r="K49" s="123"/>
      <c r="L49" s="55"/>
      <c r="M49" s="55"/>
      <c r="R49" s="389" t="e">
        <f>MAX(0,'2023.06 to 2024.05 LC'!$F55-$Q$6)</f>
        <v>#VALUE!</v>
      </c>
    </row>
    <row r="50" spans="3:18">
      <c r="C50" s="85"/>
      <c r="F50" s="55"/>
      <c r="G50" s="55"/>
      <c r="H50" s="55"/>
      <c r="I50" s="55"/>
      <c r="J50" s="55"/>
      <c r="K50" s="124"/>
      <c r="L50" s="55"/>
      <c r="M50" s="55"/>
      <c r="Q50" s="102"/>
      <c r="R50" s="389" t="e">
        <f>MAX(0,'2023.06 to 2024.05 LC'!$F56-$Q$6)</f>
        <v>#VALUE!</v>
      </c>
    </row>
    <row r="51" spans="3:18">
      <c r="F51" s="55"/>
      <c r="G51" s="55"/>
      <c r="H51" s="55"/>
      <c r="I51" s="55"/>
      <c r="J51" s="55"/>
      <c r="K51" s="55"/>
      <c r="L51" s="55"/>
      <c r="M51" s="55"/>
      <c r="R51" s="389" t="e">
        <f>MAX(0,'2023.06 to 2024.05 LC'!$F57-$Q$6)</f>
        <v>#VALUE!</v>
      </c>
    </row>
    <row r="52" spans="3:18">
      <c r="F52" s="55"/>
      <c r="G52" s="55"/>
      <c r="H52" s="55"/>
      <c r="I52" s="55"/>
      <c r="J52" s="55"/>
      <c r="K52" s="55"/>
      <c r="L52" s="55"/>
      <c r="M52" s="55"/>
      <c r="R52" s="389" t="e">
        <f>MAX(0,'2023.06 to 2024.05 LC'!$F58-$Q$6)</f>
        <v>#VALUE!</v>
      </c>
    </row>
    <row r="53" spans="3:18">
      <c r="F53" s="55"/>
      <c r="G53" s="55"/>
      <c r="H53" s="55"/>
      <c r="I53" s="55"/>
      <c r="J53" s="55"/>
      <c r="K53" s="55"/>
      <c r="L53" s="55"/>
      <c r="M53" s="55"/>
      <c r="Q53" s="102"/>
      <c r="R53" s="389" t="e">
        <f>MAX(0,'2023.06 to 2024.05 LC'!$F59-$Q$6)</f>
        <v>#VALUE!</v>
      </c>
    </row>
    <row r="54" spans="3:18">
      <c r="F54" s="55"/>
      <c r="G54" s="55"/>
      <c r="H54" s="55"/>
      <c r="I54" s="55"/>
      <c r="J54" s="55"/>
      <c r="K54" s="55"/>
      <c r="L54" s="55"/>
      <c r="M54" s="55"/>
      <c r="R54" s="389" t="e">
        <f>MAX(0,'2023.06 to 2024.05 LC'!$F60-$Q$6)</f>
        <v>#VALUE!</v>
      </c>
    </row>
    <row r="55" spans="3:18">
      <c r="F55" s="55"/>
      <c r="G55" s="55"/>
      <c r="H55" s="55"/>
      <c r="I55" s="55"/>
      <c r="J55" s="55"/>
      <c r="K55" s="55"/>
      <c r="L55" s="55"/>
      <c r="M55" s="55"/>
      <c r="R55" s="389" t="e">
        <f>MAX(0,'2023.06 to 2024.05 LC'!$F61-$Q$6)</f>
        <v>#VALUE!</v>
      </c>
    </row>
    <row r="56" spans="3:18">
      <c r="F56" s="55"/>
      <c r="G56" s="55"/>
      <c r="H56" s="55"/>
      <c r="I56" s="55"/>
      <c r="J56" s="55"/>
      <c r="K56" s="55"/>
      <c r="L56" s="55"/>
      <c r="M56" s="55"/>
      <c r="Q56" s="102"/>
      <c r="R56" s="389" t="e">
        <f>MAX(0,'2023.06 to 2024.05 LC'!$F62-$Q$6)</f>
        <v>#VALUE!</v>
      </c>
    </row>
    <row r="57" spans="3:18">
      <c r="F57" s="55"/>
      <c r="G57" s="55"/>
      <c r="H57" s="55"/>
      <c r="I57" s="55"/>
      <c r="J57" s="55"/>
      <c r="K57" s="55"/>
      <c r="L57" s="55"/>
      <c r="M57" s="55"/>
      <c r="R57" s="389" t="e">
        <f>MAX(0,'2023.06 to 2024.05 LC'!$F63-$Q$6)</f>
        <v>#VALUE!</v>
      </c>
    </row>
    <row r="58" spans="3:18">
      <c r="F58" s="55"/>
      <c r="G58" s="55"/>
      <c r="H58" s="55"/>
      <c r="I58" s="55"/>
      <c r="J58" s="55"/>
      <c r="K58" s="55"/>
      <c r="L58" s="55"/>
      <c r="M58" s="55"/>
      <c r="R58" s="389" t="e">
        <f>MAX(0,'2023.06 to 2024.05 LC'!$F64-$Q$6)</f>
        <v>#VALUE!</v>
      </c>
    </row>
    <row r="59" spans="3:18">
      <c r="F59" s="55"/>
      <c r="G59" s="55"/>
      <c r="H59" s="55"/>
      <c r="I59" s="99"/>
      <c r="J59" s="99"/>
      <c r="K59" s="55"/>
      <c r="L59" s="55"/>
      <c r="M59" s="55"/>
      <c r="Q59" s="102"/>
      <c r="R59" s="389" t="e">
        <f>MAX(0,'2023.06 to 2024.05 LC'!$F65-$Q$6)</f>
        <v>#VALUE!</v>
      </c>
    </row>
    <row r="60" spans="3:18">
      <c r="F60" s="55"/>
      <c r="G60" s="55"/>
      <c r="H60" s="55"/>
      <c r="I60" s="99"/>
      <c r="J60" s="99"/>
      <c r="K60" s="55"/>
      <c r="L60" s="55"/>
      <c r="M60" s="55"/>
      <c r="R60" s="389" t="e">
        <f>MAX(0,'2023.06 to 2024.05 LC'!$F66-$Q$6)</f>
        <v>#VALUE!</v>
      </c>
    </row>
    <row r="61" spans="3:18">
      <c r="F61" s="55"/>
      <c r="G61" s="55"/>
      <c r="H61" s="55"/>
      <c r="I61" s="99"/>
      <c r="J61" s="99"/>
      <c r="K61" s="55"/>
      <c r="L61" s="55"/>
      <c r="M61" s="55"/>
      <c r="R61" s="389" t="e">
        <f>MAX(0,'2023.06 to 2024.05 LC'!$F67-$Q$6)</f>
        <v>#VALUE!</v>
      </c>
    </row>
    <row r="62" spans="3:18">
      <c r="F62" s="55"/>
      <c r="G62" s="55"/>
      <c r="H62" s="55"/>
      <c r="I62" s="55"/>
      <c r="J62" s="55"/>
      <c r="K62" s="55"/>
      <c r="L62" s="55"/>
      <c r="M62" s="55"/>
      <c r="Q62" s="102"/>
      <c r="R62" s="389" t="e">
        <f>MAX(0,'2023.06 to 2024.05 LC'!$F68-$Q$6)</f>
        <v>#VALUE!</v>
      </c>
    </row>
    <row r="63" spans="3:18">
      <c r="F63" s="55"/>
      <c r="G63" s="55"/>
      <c r="H63" s="55"/>
      <c r="I63" s="55"/>
      <c r="J63" s="55"/>
      <c r="K63" s="55"/>
      <c r="L63" s="55"/>
      <c r="M63" s="55"/>
      <c r="R63" s="389" t="e">
        <f>MAX(0,'2023.06 to 2024.05 LC'!$F69-$Q$6)</f>
        <v>#VALUE!</v>
      </c>
    </row>
    <row r="64" spans="3:18">
      <c r="F64" s="55"/>
      <c r="G64" s="55"/>
      <c r="H64" s="55"/>
      <c r="I64" s="55"/>
      <c r="J64" s="55"/>
      <c r="K64" s="99"/>
      <c r="L64" s="55"/>
      <c r="M64" s="55"/>
      <c r="R64" s="389" t="e">
        <f>MAX(0,'2023.06 to 2024.05 LC'!$F70-$Q$6)</f>
        <v>#VALUE!</v>
      </c>
    </row>
    <row r="65" spans="6:18">
      <c r="F65" s="55"/>
      <c r="G65" s="55"/>
      <c r="H65" s="55"/>
      <c r="I65" s="55"/>
      <c r="J65" s="55"/>
      <c r="K65" s="55"/>
      <c r="L65" s="55"/>
      <c r="M65" s="55"/>
      <c r="Q65" s="102"/>
      <c r="R65" s="389" t="e">
        <f>MAX(0,'2023.06 to 2024.05 LC'!$F71-$Q$6)</f>
        <v>#VALUE!</v>
      </c>
    </row>
    <row r="66" spans="6:18">
      <c r="F66" s="55"/>
      <c r="G66" s="55"/>
      <c r="H66" s="55"/>
      <c r="I66" s="55"/>
      <c r="J66" s="55"/>
      <c r="K66" s="55"/>
      <c r="L66" s="55"/>
      <c r="M66" s="55"/>
      <c r="R66" s="389" t="e">
        <f>MAX(0,'2023.06 to 2024.05 LC'!$F72-$Q$6)</f>
        <v>#VALUE!</v>
      </c>
    </row>
    <row r="67" spans="6:18">
      <c r="F67" s="55"/>
      <c r="G67" s="55"/>
      <c r="H67" s="55"/>
      <c r="I67" s="55"/>
      <c r="J67" s="55"/>
      <c r="K67" s="55"/>
      <c r="L67" s="55"/>
      <c r="M67" s="55"/>
      <c r="R67" s="389" t="e">
        <f>MAX(0,'2023.06 to 2024.05 LC'!$F73-$Q$6)</f>
        <v>#VALUE!</v>
      </c>
    </row>
    <row r="68" spans="6:18">
      <c r="F68" s="55"/>
      <c r="G68" s="55"/>
      <c r="H68" s="55"/>
      <c r="I68" s="55"/>
      <c r="J68" s="55"/>
      <c r="K68" s="55"/>
      <c r="L68" s="55"/>
      <c r="M68" s="55"/>
      <c r="Q68" s="102"/>
      <c r="R68" s="389" t="e">
        <f>MAX(0,'2023.06 to 2024.05 LC'!$F74-$Q$6)</f>
        <v>#VALUE!</v>
      </c>
    </row>
    <row r="69" spans="6:18">
      <c r="F69" s="55"/>
      <c r="G69" s="55"/>
      <c r="H69" s="55"/>
      <c r="I69" s="55"/>
      <c r="J69" s="55"/>
      <c r="K69" s="55"/>
      <c r="L69" s="55"/>
      <c r="M69" s="55"/>
      <c r="R69" s="389" t="e">
        <f>MAX(0,'2023.06 to 2024.05 LC'!$F75-$Q$6)</f>
        <v>#VALUE!</v>
      </c>
    </row>
    <row r="70" spans="6:18">
      <c r="F70" s="55"/>
      <c r="G70" s="55"/>
      <c r="H70" s="55"/>
      <c r="I70" s="55"/>
      <c r="J70" s="55"/>
      <c r="K70" s="55"/>
      <c r="L70" s="55"/>
      <c r="M70" s="55"/>
      <c r="R70" s="389" t="e">
        <f>MAX(0,'2023.06 to 2024.05 LC'!$F76-$Q$6)</f>
        <v>#VALUE!</v>
      </c>
    </row>
    <row r="71" spans="6:18">
      <c r="F71" s="55"/>
      <c r="G71" s="55"/>
      <c r="H71" s="55"/>
      <c r="I71" s="55"/>
      <c r="J71" s="55"/>
      <c r="K71" s="55"/>
      <c r="L71" s="55"/>
      <c r="M71" s="55"/>
      <c r="Q71" s="102"/>
      <c r="R71" s="389" t="e">
        <f>MAX(0,'2023.06 to 2024.05 LC'!$F77-$Q$6)</f>
        <v>#VALUE!</v>
      </c>
    </row>
    <row r="72" spans="6:18">
      <c r="F72" s="55"/>
      <c r="G72" s="55"/>
      <c r="H72" s="55"/>
      <c r="I72" s="55"/>
      <c r="J72" s="55"/>
      <c r="K72" s="55"/>
      <c r="L72" s="55"/>
      <c r="M72" s="55"/>
      <c r="R72" s="389" t="e">
        <f>MAX(0,'2023.06 to 2024.05 LC'!$F78-$Q$6)</f>
        <v>#VALUE!</v>
      </c>
    </row>
    <row r="73" spans="6:18">
      <c r="F73" s="55"/>
      <c r="G73" s="55"/>
      <c r="H73" s="55"/>
      <c r="I73" s="55"/>
      <c r="J73" s="55"/>
      <c r="K73" s="55"/>
      <c r="L73" s="55"/>
      <c r="M73" s="55"/>
      <c r="R73" s="389" t="e">
        <f>MAX(0,'2023.06 to 2024.05 LC'!$F79-$Q$6)</f>
        <v>#VALUE!</v>
      </c>
    </row>
    <row r="74" spans="6:18">
      <c r="F74" s="55"/>
      <c r="G74" s="55"/>
      <c r="H74" s="55"/>
      <c r="I74" s="55"/>
      <c r="J74" s="55"/>
      <c r="K74" s="55"/>
      <c r="L74" s="55"/>
      <c r="M74" s="55"/>
      <c r="Q74" s="102"/>
      <c r="R74" s="389" t="e">
        <f>MAX(0,'2023.06 to 2024.05 LC'!$F80-$Q$6)</f>
        <v>#VALUE!</v>
      </c>
    </row>
    <row r="75" spans="6:18">
      <c r="F75" s="55"/>
      <c r="G75" s="55"/>
      <c r="H75" s="55"/>
      <c r="I75" s="55"/>
      <c r="J75" s="55"/>
      <c r="K75" s="55"/>
      <c r="L75" s="55"/>
      <c r="M75" s="55"/>
      <c r="R75" s="389" t="e">
        <f>MAX(0,'2023.06 to 2024.05 LC'!$F81-$Q$6)</f>
        <v>#VALUE!</v>
      </c>
    </row>
    <row r="76" spans="6:18">
      <c r="F76" s="55"/>
      <c r="G76" s="55"/>
      <c r="H76" s="55"/>
      <c r="I76" s="55"/>
      <c r="J76" s="55"/>
      <c r="K76" s="55"/>
      <c r="L76" s="55"/>
      <c r="M76" s="55"/>
      <c r="R76" s="389" t="e">
        <f>MAX(0,'2023.06 to 2024.05 LC'!$F82-$Q$6)</f>
        <v>#VALUE!</v>
      </c>
    </row>
    <row r="77" spans="6:18">
      <c r="F77" s="55"/>
      <c r="G77" s="55"/>
      <c r="H77" s="55"/>
      <c r="I77" s="55"/>
      <c r="J77" s="55"/>
      <c r="K77" s="55"/>
      <c r="L77" s="55"/>
      <c r="M77" s="55"/>
      <c r="Q77" s="102"/>
      <c r="R77" s="389" t="e">
        <f>MAX(0,'2023.06 to 2024.05 LC'!$F83-$Q$6)</f>
        <v>#VALUE!</v>
      </c>
    </row>
    <row r="78" spans="6:18">
      <c r="F78" s="55"/>
      <c r="G78" s="55"/>
      <c r="H78" s="55"/>
      <c r="I78" s="55"/>
      <c r="J78" s="55"/>
      <c r="K78" s="55"/>
      <c r="L78" s="55"/>
      <c r="M78" s="55"/>
      <c r="R78" s="389" t="e">
        <f>MAX(0,'2023.06 to 2024.05 LC'!$F84-$Q$6)</f>
        <v>#VALUE!</v>
      </c>
    </row>
    <row r="79" spans="6:18">
      <c r="F79" s="55"/>
      <c r="G79" s="55"/>
      <c r="H79" s="55"/>
      <c r="I79" s="55"/>
      <c r="J79" s="55"/>
      <c r="K79" s="55"/>
      <c r="L79" s="55"/>
      <c r="M79" s="55"/>
      <c r="R79" s="389" t="e">
        <f>MAX(0,'2023.06 to 2024.05 LC'!$F85-$Q$6)</f>
        <v>#VALUE!</v>
      </c>
    </row>
    <row r="80" spans="6:18">
      <c r="F80" s="55"/>
      <c r="G80" s="55"/>
      <c r="H80" s="55"/>
      <c r="I80" s="55"/>
      <c r="J80" s="55"/>
      <c r="K80" s="55"/>
      <c r="L80" s="55"/>
      <c r="M80" s="55"/>
      <c r="Q80" s="102"/>
      <c r="R80" s="389" t="e">
        <f>MAX(0,'2023.06 to 2024.05 LC'!$F86-$Q$6)</f>
        <v>#VALUE!</v>
      </c>
    </row>
    <row r="81" spans="6:18">
      <c r="F81" s="55"/>
      <c r="G81" s="55"/>
      <c r="H81" s="55"/>
      <c r="I81" s="55"/>
      <c r="J81" s="55"/>
      <c r="K81" s="55"/>
      <c r="L81" s="55"/>
      <c r="M81" s="55"/>
      <c r="R81" s="389" t="e">
        <f>MAX(0,'2023.06 to 2024.05 LC'!$F87-$Q$6)</f>
        <v>#VALUE!</v>
      </c>
    </row>
    <row r="82" spans="6:18">
      <c r="H82" s="2"/>
      <c r="R82" s="389" t="e">
        <f>MAX(0,'2023.06 to 2024.05 LC'!$F88-$Q$6)</f>
        <v>#VALUE!</v>
      </c>
    </row>
    <row r="83" spans="6:18">
      <c r="H83" s="2"/>
      <c r="Q83" s="102"/>
      <c r="R83" s="389" t="e">
        <f>MAX(0,'2023.06 to 2024.05 LC'!$F89-$Q$6)</f>
        <v>#VALUE!</v>
      </c>
    </row>
    <row r="84" spans="6:18">
      <c r="H84" s="2"/>
      <c r="R84" s="389" t="e">
        <f>MAX(0,'2023.06 to 2024.05 LC'!$F90-$Q$6)</f>
        <v>#VALUE!</v>
      </c>
    </row>
    <row r="85" spans="6:18">
      <c r="H85" s="2"/>
      <c r="R85" s="389" t="e">
        <f>MAX(0,'2023.06 to 2024.05 LC'!$F91-$Q$6)</f>
        <v>#VALUE!</v>
      </c>
    </row>
    <row r="86" spans="6:18">
      <c r="H86" s="2"/>
      <c r="Q86" s="102"/>
      <c r="R86" s="389" t="e">
        <f>MAX(0,'2023.06 to 2024.05 LC'!$F92-$Q$6)</f>
        <v>#VALUE!</v>
      </c>
    </row>
    <row r="87" spans="6:18">
      <c r="H87" s="2"/>
      <c r="R87" s="389" t="e">
        <f>MAX(0,'2023.06 to 2024.05 LC'!$F93-$Q$6)</f>
        <v>#VALUE!</v>
      </c>
    </row>
    <row r="88" spans="6:18">
      <c r="H88" s="2"/>
      <c r="R88" s="389" t="e">
        <f>MAX(0,'2023.06 to 2024.05 LC'!$F94-$Q$6)</f>
        <v>#VALUE!</v>
      </c>
    </row>
    <row r="89" spans="6:18">
      <c r="H89" s="2"/>
      <c r="Q89" s="102"/>
      <c r="R89" s="389" t="e">
        <f>MAX(0,'2023.06 to 2024.05 LC'!$F95-$Q$6)</f>
        <v>#VALUE!</v>
      </c>
    </row>
    <row r="90" spans="6:18">
      <c r="H90" s="2"/>
      <c r="R90" s="389" t="e">
        <f>MAX(0,'2023.06 to 2024.05 LC'!$F96-$Q$6)</f>
        <v>#VALUE!</v>
      </c>
    </row>
    <row r="91" spans="6:18">
      <c r="H91" s="2"/>
      <c r="R91" s="389" t="e">
        <f>MAX(0,'2023.06 to 2024.05 LC'!$F97-$Q$6)</f>
        <v>#VALUE!</v>
      </c>
    </row>
    <row r="92" spans="6:18">
      <c r="H92" s="2"/>
      <c r="Q92" s="102"/>
      <c r="R92" s="389" t="e">
        <f>MAX(0,'2023.06 to 2024.05 LC'!$F98-$Q$6)</f>
        <v>#VALUE!</v>
      </c>
    </row>
    <row r="93" spans="6:18">
      <c r="H93" s="2"/>
      <c r="R93" s="389" t="e">
        <f>MAX(0,'2023.06 to 2024.05 LC'!$F99-$Q$6)</f>
        <v>#VALUE!</v>
      </c>
    </row>
    <row r="94" spans="6:18">
      <c r="H94" s="2"/>
      <c r="R94" s="389" t="e">
        <f>MAX(0,'2023.06 to 2024.05 LC'!$F100-$Q$6)</f>
        <v>#VALUE!</v>
      </c>
    </row>
    <row r="95" spans="6:18">
      <c r="H95" s="2"/>
      <c r="Q95" s="102"/>
      <c r="R95" s="389" t="e">
        <f>MAX(0,'2023.06 to 2024.05 LC'!$F101-$Q$6)</f>
        <v>#VALUE!</v>
      </c>
    </row>
    <row r="96" spans="6:18">
      <c r="H96" s="2"/>
      <c r="R96" s="389" t="e">
        <f>MAX(0,'2023.06 to 2024.05 LC'!$F102-$Q$6)</f>
        <v>#VALUE!</v>
      </c>
    </row>
    <row r="97" spans="8:18">
      <c r="H97" s="2"/>
      <c r="R97" s="389" t="e">
        <f>MAX(0,'2023.06 to 2024.05 LC'!$F103-$Q$6)</f>
        <v>#VALUE!</v>
      </c>
    </row>
    <row r="98" spans="8:18">
      <c r="H98" s="2"/>
      <c r="Q98" s="102"/>
      <c r="R98" s="389" t="e">
        <f>MAX(0,'2023.06 to 2024.05 LC'!$F104-$Q$6)</f>
        <v>#VALUE!</v>
      </c>
    </row>
    <row r="99" spans="8:18">
      <c r="H99" s="2"/>
      <c r="R99" s="389" t="e">
        <f>MAX(0,'2023.06 to 2024.05 LC'!$F105-$Q$6)</f>
        <v>#VALUE!</v>
      </c>
    </row>
    <row r="100" spans="8:18">
      <c r="H100" s="2"/>
      <c r="R100" s="389" t="e">
        <f>MAX(0,'2023.06 to 2024.05 LC'!$F106-$Q$6)</f>
        <v>#VALUE!</v>
      </c>
    </row>
    <row r="101" spans="8:18">
      <c r="H101" s="2"/>
      <c r="Q101" s="102"/>
      <c r="R101" s="389" t="e">
        <f>MAX(0,'2023.06 to 2024.05 LC'!$F107-$Q$6)</f>
        <v>#VALUE!</v>
      </c>
    </row>
    <row r="102" spans="8:18">
      <c r="H102" s="2"/>
      <c r="R102" s="389" t="e">
        <f>MAX(0,'2023.06 to 2024.05 LC'!$F108-$Q$6)</f>
        <v>#VALUE!</v>
      </c>
    </row>
    <row r="103" spans="8:18">
      <c r="H103" s="2"/>
      <c r="R103" s="389" t="e">
        <f>MAX(0,'2023.06 to 2024.05 LC'!$F109-$Q$6)</f>
        <v>#VALUE!</v>
      </c>
    </row>
    <row r="104" spans="8:18">
      <c r="H104" s="2"/>
      <c r="Q104" s="102"/>
      <c r="R104" s="389" t="e">
        <f>MAX(0,'2023.06 to 2024.05 LC'!$F110-$Q$6)</f>
        <v>#VALUE!</v>
      </c>
    </row>
    <row r="105" spans="8:18">
      <c r="H105" s="2"/>
      <c r="R105" s="389" t="e">
        <f>MAX(0,'2023.06 to 2024.05 LC'!$F111-$Q$6)</f>
        <v>#VALUE!</v>
      </c>
    </row>
    <row r="106" spans="8:18">
      <c r="H106" s="2"/>
      <c r="R106" s="389" t="e">
        <f>MAX(0,'2023.06 to 2024.05 LC'!$F112-$Q$6)</f>
        <v>#VALUE!</v>
      </c>
    </row>
    <row r="107" spans="8:18">
      <c r="H107" s="2"/>
      <c r="Q107" s="102"/>
      <c r="R107" s="389" t="e">
        <f>MAX(0,'2023.06 to 2024.05 LC'!$F113-$Q$6)</f>
        <v>#VALUE!</v>
      </c>
    </row>
    <row r="108" spans="8:18">
      <c r="H108" s="2"/>
      <c r="R108" s="389" t="e">
        <f>MAX(0,'2023.06 to 2024.05 LC'!$F114-$Q$6)</f>
        <v>#VALUE!</v>
      </c>
    </row>
    <row r="109" spans="8:18">
      <c r="H109" s="2"/>
      <c r="R109" s="389" t="e">
        <f>MAX(0,'2023.06 to 2024.05 LC'!$F115-$Q$6)</f>
        <v>#VALUE!</v>
      </c>
    </row>
    <row r="110" spans="8:18">
      <c r="H110" s="2"/>
      <c r="Q110" s="102"/>
      <c r="R110" s="389" t="e">
        <f>MAX(0,'2023.06 to 2024.05 LC'!$F116-$Q$6)</f>
        <v>#VALUE!</v>
      </c>
    </row>
    <row r="111" spans="8:18">
      <c r="H111" s="2"/>
      <c r="R111" s="389" t="e">
        <f>MAX(0,'2023.06 to 2024.05 LC'!$F117-$Q$6)</f>
        <v>#VALUE!</v>
      </c>
    </row>
    <row r="112" spans="8:18">
      <c r="H112" s="2"/>
      <c r="R112" s="389" t="e">
        <f>MAX(0,'2023.06 to 2024.05 LC'!$F118-$Q$6)</f>
        <v>#VALUE!</v>
      </c>
    </row>
    <row r="113" spans="8:18">
      <c r="H113" s="2"/>
      <c r="Q113" s="102"/>
      <c r="R113" s="389" t="e">
        <f>MAX(0,'2023.06 to 2024.05 LC'!$F119-$Q$6)</f>
        <v>#VALUE!</v>
      </c>
    </row>
    <row r="114" spans="8:18">
      <c r="H114" s="2"/>
      <c r="R114" s="389" t="e">
        <f>MAX(0,'2023.06 to 2024.05 LC'!$F120-$Q$6)</f>
        <v>#VALUE!</v>
      </c>
    </row>
    <row r="115" spans="8:18">
      <c r="H115" s="2"/>
      <c r="R115" s="389" t="e">
        <f>MAX(0,'2023.06 to 2024.05 LC'!$F121-$Q$6)</f>
        <v>#VALUE!</v>
      </c>
    </row>
    <row r="116" spans="8:18">
      <c r="H116" s="2"/>
      <c r="Q116" s="102"/>
      <c r="R116" s="389" t="e">
        <f>MAX(0,'2023.06 to 2024.05 LC'!$F122-$Q$6)</f>
        <v>#VALUE!</v>
      </c>
    </row>
    <row r="117" spans="8:18">
      <c r="H117" s="2"/>
      <c r="R117" s="389" t="e">
        <f>MAX(0,'2023.06 to 2024.05 LC'!$F123-$Q$6)</f>
        <v>#VALUE!</v>
      </c>
    </row>
    <row r="118" spans="8:18">
      <c r="H118" s="2"/>
      <c r="R118" s="389" t="e">
        <f>MAX(0,'2023.06 to 2024.05 LC'!$F124-$Q$6)</f>
        <v>#VALUE!</v>
      </c>
    </row>
    <row r="119" spans="8:18">
      <c r="H119" s="2"/>
      <c r="Q119" s="102"/>
      <c r="R119" s="389" t="e">
        <f>MAX(0,'2023.06 to 2024.05 LC'!$F125-$Q$6)</f>
        <v>#VALUE!</v>
      </c>
    </row>
    <row r="120" spans="8:18">
      <c r="H120" s="2"/>
      <c r="R120" s="389" t="e">
        <f>MAX(0,'2023.06 to 2024.05 LC'!$F126-$Q$6)</f>
        <v>#VALUE!</v>
      </c>
    </row>
    <row r="121" spans="8:18">
      <c r="H121" s="2"/>
      <c r="R121" s="389" t="e">
        <f>MAX(0,'2023.06 to 2024.05 LC'!$F127-$Q$6)</f>
        <v>#VALUE!</v>
      </c>
    </row>
    <row r="122" spans="8:18">
      <c r="H122" s="2"/>
      <c r="Q122" s="102"/>
      <c r="R122" s="389" t="e">
        <f>MAX(0,'2023.06 to 2024.05 LC'!$F128-$Q$6)</f>
        <v>#VALUE!</v>
      </c>
    </row>
    <row r="123" spans="8:18">
      <c r="H123" s="2"/>
      <c r="R123" s="389" t="e">
        <f>MAX(0,'2023.06 to 2024.05 LC'!$F129-$Q$6)</f>
        <v>#VALUE!</v>
      </c>
    </row>
    <row r="124" spans="8:18">
      <c r="H124" s="2"/>
      <c r="R124" s="389" t="e">
        <f>MAX(0,'2023.06 to 2024.05 LC'!$F130-$Q$6)</f>
        <v>#VALUE!</v>
      </c>
    </row>
    <row r="125" spans="8:18">
      <c r="H125" s="2"/>
      <c r="Q125" s="102"/>
      <c r="R125" s="389" t="e">
        <f>MAX(0,'2023.06 to 2024.05 LC'!$F131-$Q$6)</f>
        <v>#VALUE!</v>
      </c>
    </row>
    <row r="126" spans="8:18">
      <c r="H126" s="2"/>
      <c r="R126" s="389" t="e">
        <f>MAX(0,'2023.06 to 2024.05 LC'!$F132-$Q$6)</f>
        <v>#VALUE!</v>
      </c>
    </row>
    <row r="127" spans="8:18">
      <c r="H127" s="2"/>
      <c r="R127" s="389" t="e">
        <f>MAX(0,'2023.06 to 2024.05 LC'!$F133-$Q$6)</f>
        <v>#VALUE!</v>
      </c>
    </row>
    <row r="128" spans="8:18">
      <c r="H128" s="2"/>
      <c r="Q128" s="102"/>
      <c r="R128" s="389" t="e">
        <f>MAX(0,'2023.06 to 2024.05 LC'!$F134-$Q$6)</f>
        <v>#VALUE!</v>
      </c>
    </row>
    <row r="129" spans="8:18">
      <c r="H129" s="2"/>
      <c r="R129" s="389" t="e">
        <f>MAX(0,'2023.06 to 2024.05 LC'!$F135-$Q$6)</f>
        <v>#VALUE!</v>
      </c>
    </row>
    <row r="130" spans="8:18">
      <c r="H130" s="2"/>
      <c r="R130" s="389" t="e">
        <f>MAX(0,'2023.06 to 2024.05 LC'!$F136-$Q$6)</f>
        <v>#VALUE!</v>
      </c>
    </row>
    <row r="131" spans="8:18">
      <c r="H131" s="2"/>
      <c r="Q131" s="102"/>
      <c r="R131" s="389" t="e">
        <f>MAX(0,'2023.06 to 2024.05 LC'!$F137-$Q$6)</f>
        <v>#VALUE!</v>
      </c>
    </row>
    <row r="132" spans="8:18">
      <c r="H132" s="2"/>
      <c r="R132" s="389" t="e">
        <f>MAX(0,'2023.06 to 2024.05 LC'!$F138-$Q$6)</f>
        <v>#VALUE!</v>
      </c>
    </row>
    <row r="133" spans="8:18">
      <c r="H133" s="2"/>
      <c r="R133" s="389" t="e">
        <f>MAX(0,'2023.06 to 2024.05 LC'!$F139-$Q$6)</f>
        <v>#VALUE!</v>
      </c>
    </row>
    <row r="134" spans="8:18">
      <c r="H134" s="2"/>
      <c r="Q134" s="102"/>
      <c r="R134" s="389" t="e">
        <f>MAX(0,'2023.06 to 2024.05 LC'!$F140-$Q$6)</f>
        <v>#VALUE!</v>
      </c>
    </row>
    <row r="135" spans="8:18">
      <c r="H135" s="2"/>
      <c r="R135" s="389" t="e">
        <f>MAX(0,'2023.06 to 2024.05 LC'!$F141-$Q$6)</f>
        <v>#VALUE!</v>
      </c>
    </row>
    <row r="136" spans="8:18">
      <c r="H136" s="2"/>
      <c r="R136" s="389" t="e">
        <f>MAX(0,'2023.06 to 2024.05 LC'!$F142-$Q$6)</f>
        <v>#VALUE!</v>
      </c>
    </row>
    <row r="137" spans="8:18">
      <c r="H137" s="2"/>
      <c r="Q137" s="102"/>
      <c r="R137" s="389" t="e">
        <f>MAX(0,'2023.06 to 2024.05 LC'!$F143-$Q$6)</f>
        <v>#VALUE!</v>
      </c>
    </row>
    <row r="138" spans="8:18">
      <c r="H138" s="2"/>
      <c r="R138" s="389" t="e">
        <f>MAX(0,'2023.06 to 2024.05 LC'!$F144-$Q$6)</f>
        <v>#VALUE!</v>
      </c>
    </row>
    <row r="139" spans="8:18">
      <c r="H139" s="2"/>
      <c r="R139" s="389" t="e">
        <f>MAX(0,'2023.06 to 2024.05 LC'!$F145-$Q$6)</f>
        <v>#VALUE!</v>
      </c>
    </row>
    <row r="140" spans="8:18">
      <c r="H140" s="2"/>
      <c r="Q140" s="102"/>
      <c r="R140" s="389" t="e">
        <f>MAX(0,'2023.06 to 2024.05 LC'!$F146-$Q$6)</f>
        <v>#VALUE!</v>
      </c>
    </row>
    <row r="141" spans="8:18">
      <c r="H141" s="2"/>
      <c r="R141" s="389" t="e">
        <f>MAX(0,'2023.06 to 2024.05 LC'!$F147-$Q$6)</f>
        <v>#VALUE!</v>
      </c>
    </row>
    <row r="142" spans="8:18">
      <c r="H142" s="2"/>
      <c r="R142" s="389" t="e">
        <f>MAX(0,'2023.06 to 2024.05 LC'!$F148-$Q$6)</f>
        <v>#VALUE!</v>
      </c>
    </row>
    <row r="143" spans="8:18">
      <c r="H143" s="2"/>
      <c r="Q143" s="102"/>
      <c r="R143" s="389" t="e">
        <f>MAX(0,'2023.06 to 2024.05 LC'!$F149-$Q$6)</f>
        <v>#VALUE!</v>
      </c>
    </row>
    <row r="144" spans="8:18">
      <c r="H144" s="2"/>
      <c r="R144" s="389" t="e">
        <f>MAX(0,'2023.06 to 2024.05 LC'!$F150-$Q$6)</f>
        <v>#VALUE!</v>
      </c>
    </row>
    <row r="145" spans="8:18">
      <c r="H145" s="2"/>
      <c r="R145" s="389" t="e">
        <f>MAX(0,'2023.06 to 2024.05 LC'!$F151-$Q$6)</f>
        <v>#VALUE!</v>
      </c>
    </row>
    <row r="146" spans="8:18">
      <c r="H146" s="2"/>
      <c r="Q146" s="102"/>
      <c r="R146" s="389" t="e">
        <f>MAX(0,'2023.06 to 2024.05 LC'!$F152-$Q$6)</f>
        <v>#VALUE!</v>
      </c>
    </row>
    <row r="147" spans="8:18">
      <c r="H147" s="2"/>
      <c r="R147" s="389" t="e">
        <f>MAX(0,'2023.06 to 2024.05 LC'!$F153-$Q$6)</f>
        <v>#VALUE!</v>
      </c>
    </row>
    <row r="148" spans="8:18">
      <c r="H148" s="2"/>
      <c r="R148" s="389" t="e">
        <f>MAX(0,'2023.06 to 2024.05 LC'!$F154-$Q$6)</f>
        <v>#VALUE!</v>
      </c>
    </row>
    <row r="149" spans="8:18">
      <c r="H149" s="2"/>
      <c r="Q149" s="102"/>
      <c r="R149" s="389" t="e">
        <f>MAX(0,'2023.06 to 2024.05 LC'!$F155-$Q$6)</f>
        <v>#VALUE!</v>
      </c>
    </row>
    <row r="150" spans="8:18">
      <c r="H150" s="2"/>
      <c r="R150" s="389" t="e">
        <f>MAX(0,'2023.06 to 2024.05 LC'!$F156-$Q$6)</f>
        <v>#VALUE!</v>
      </c>
    </row>
    <row r="151" spans="8:18">
      <c r="H151" s="2"/>
      <c r="R151" s="389" t="e">
        <f>MAX(0,'2023.06 to 2024.05 LC'!$F157-$Q$6)</f>
        <v>#VALUE!</v>
      </c>
    </row>
    <row r="152" spans="8:18">
      <c r="H152" s="2"/>
      <c r="Q152" s="102"/>
      <c r="R152" s="389" t="e">
        <f>MAX(0,'2023.06 to 2024.05 LC'!$F158-$Q$6)</f>
        <v>#VALUE!</v>
      </c>
    </row>
    <row r="153" spans="8:18">
      <c r="H153" s="2"/>
      <c r="R153" s="389" t="e">
        <f>MAX(0,'2023.06 to 2024.05 LC'!$F159-$Q$6)</f>
        <v>#VALUE!</v>
      </c>
    </row>
    <row r="154" spans="8:18">
      <c r="H154" s="2"/>
      <c r="R154" s="389" t="e">
        <f>MAX(0,'2023.06 to 2024.05 LC'!$F160-$Q$6)</f>
        <v>#VALUE!</v>
      </c>
    </row>
    <row r="155" spans="8:18">
      <c r="H155" s="2"/>
      <c r="Q155" s="102"/>
      <c r="R155" s="389" t="e">
        <f>MAX(0,'2023.06 to 2024.05 LC'!$F161-$Q$6)</f>
        <v>#VALUE!</v>
      </c>
    </row>
    <row r="156" spans="8:18">
      <c r="H156" s="2"/>
      <c r="R156" s="389" t="e">
        <f>MAX(0,'2023.06 to 2024.05 LC'!$F162-$Q$6)</f>
        <v>#VALUE!</v>
      </c>
    </row>
    <row r="157" spans="8:18">
      <c r="H157" s="2"/>
      <c r="R157" s="389" t="e">
        <f>MAX(0,'2023.06 to 2024.05 LC'!$F163-$Q$6)</f>
        <v>#VALUE!</v>
      </c>
    </row>
    <row r="158" spans="8:18">
      <c r="H158" s="2"/>
      <c r="Q158" s="102"/>
      <c r="R158" s="389" t="e">
        <f>MAX(0,'2023.06 to 2024.05 LC'!$F164-$Q$6)</f>
        <v>#VALUE!</v>
      </c>
    </row>
    <row r="159" spans="8:18">
      <c r="H159" s="2"/>
      <c r="R159" s="389" t="e">
        <f>MAX(0,'2023.06 to 2024.05 LC'!$F165-$Q$6)</f>
        <v>#VALUE!</v>
      </c>
    </row>
    <row r="160" spans="8:18">
      <c r="H160" s="2"/>
      <c r="R160" s="389" t="e">
        <f>MAX(0,'2023.06 to 2024.05 LC'!$F166-$Q$6)</f>
        <v>#VALUE!</v>
      </c>
    </row>
    <row r="161" spans="8:18">
      <c r="H161" s="2"/>
      <c r="Q161" s="102"/>
      <c r="R161" s="389" t="e">
        <f>MAX(0,'2023.06 to 2024.05 LC'!$F167-$Q$6)</f>
        <v>#VALUE!</v>
      </c>
    </row>
    <row r="162" spans="8:18">
      <c r="H162" s="2"/>
      <c r="R162" s="389" t="e">
        <f>MAX(0,'2023.06 to 2024.05 LC'!$F168-$Q$6)</f>
        <v>#VALUE!</v>
      </c>
    </row>
    <row r="163" spans="8:18">
      <c r="H163" s="2"/>
      <c r="R163" s="389" t="e">
        <f>MAX(0,'2023.06 to 2024.05 LC'!$F169-$Q$6)</f>
        <v>#VALUE!</v>
      </c>
    </row>
    <row r="164" spans="8:18">
      <c r="H164" s="2"/>
      <c r="Q164" s="102"/>
      <c r="R164" s="389" t="e">
        <f>MAX(0,'2023.06 to 2024.05 LC'!$F170-$Q$6)</f>
        <v>#VALUE!</v>
      </c>
    </row>
    <row r="165" spans="8:18">
      <c r="H165" s="2"/>
      <c r="R165" s="389" t="e">
        <f>MAX(0,'2023.06 to 2024.05 LC'!$F171-$Q$6)</f>
        <v>#VALUE!</v>
      </c>
    </row>
    <row r="166" spans="8:18">
      <c r="H166" s="2"/>
      <c r="R166" s="389" t="e">
        <f>MAX(0,'2023.06 to 2024.05 LC'!$F172-$Q$6)</f>
        <v>#VALUE!</v>
      </c>
    </row>
    <row r="167" spans="8:18">
      <c r="H167" s="2"/>
      <c r="Q167" s="102"/>
      <c r="R167" s="389" t="e">
        <f>MAX(0,'2023.06 to 2024.05 LC'!$F173-$Q$6)</f>
        <v>#VALUE!</v>
      </c>
    </row>
    <row r="168" spans="8:18">
      <c r="H168" s="2"/>
      <c r="R168" s="389" t="e">
        <f>MAX(0,'2023.06 to 2024.05 LC'!$F174-$Q$6)</f>
        <v>#VALUE!</v>
      </c>
    </row>
    <row r="169" spans="8:18">
      <c r="H169" s="2"/>
      <c r="R169" s="389" t="e">
        <f>MAX(0,'2023.06 to 2024.05 LC'!$F175-$Q$6)</f>
        <v>#VALUE!</v>
      </c>
    </row>
    <row r="170" spans="8:18">
      <c r="H170" s="2"/>
      <c r="Q170" s="102"/>
      <c r="R170" s="389" t="e">
        <f>MAX(0,'2023.06 to 2024.05 LC'!$F176-$Q$6)</f>
        <v>#VALUE!</v>
      </c>
    </row>
    <row r="171" spans="8:18">
      <c r="H171" s="2"/>
      <c r="R171" s="389" t="e">
        <f>MAX(0,'2023.06 to 2024.05 LC'!$F177-$Q$6)</f>
        <v>#VALUE!</v>
      </c>
    </row>
    <row r="172" spans="8:18">
      <c r="H172" s="2"/>
      <c r="R172" s="389" t="e">
        <f>MAX(0,'2023.06 to 2024.05 LC'!$F178-$Q$6)</f>
        <v>#VALUE!</v>
      </c>
    </row>
    <row r="173" spans="8:18">
      <c r="H173" s="2"/>
      <c r="Q173" s="102"/>
      <c r="R173" s="389" t="e">
        <f>MAX(0,'2023.06 to 2024.05 LC'!$F179-$Q$6)</f>
        <v>#VALUE!</v>
      </c>
    </row>
    <row r="174" spans="8:18">
      <c r="H174" s="2"/>
      <c r="R174" s="389" t="e">
        <f>MAX(0,'2023.06 to 2024.05 LC'!$F180-$Q$6)</f>
        <v>#VALUE!</v>
      </c>
    </row>
    <row r="175" spans="8:18">
      <c r="H175" s="2"/>
      <c r="R175" s="389" t="e">
        <f>MAX(0,'2023.06 to 2024.05 LC'!$F181-$Q$6)</f>
        <v>#VALUE!</v>
      </c>
    </row>
    <row r="176" spans="8:18">
      <c r="H176" s="2"/>
      <c r="Q176" s="102"/>
      <c r="R176" s="389" t="e">
        <f>MAX(0,'2023.06 to 2024.05 LC'!$F182-$Q$6)</f>
        <v>#VALUE!</v>
      </c>
    </row>
    <row r="177" spans="8:18">
      <c r="H177" s="2"/>
      <c r="R177" s="389" t="e">
        <f>MAX(0,'2023.06 to 2024.05 LC'!$F183-$Q$6)</f>
        <v>#VALUE!</v>
      </c>
    </row>
    <row r="178" spans="8:18">
      <c r="H178" s="2"/>
      <c r="R178" s="389" t="e">
        <f>MAX(0,'2023.06 to 2024.05 LC'!$F184-$Q$6)</f>
        <v>#VALUE!</v>
      </c>
    </row>
    <row r="179" spans="8:18">
      <c r="H179" s="2"/>
      <c r="Q179" s="102"/>
      <c r="R179" s="389" t="e">
        <f>MAX(0,'2023.06 to 2024.05 LC'!$F185-$Q$6)</f>
        <v>#VALUE!</v>
      </c>
    </row>
    <row r="180" spans="8:18">
      <c r="H180" s="2"/>
      <c r="R180" s="389" t="e">
        <f>MAX(0,'2023.06 to 2024.05 LC'!$F186-$Q$6)</f>
        <v>#VALUE!</v>
      </c>
    </row>
    <row r="181" spans="8:18">
      <c r="H181" s="2"/>
      <c r="R181" s="389" t="e">
        <f>MAX(0,'2023.06 to 2024.05 LC'!$F187-$Q$6)</f>
        <v>#VALUE!</v>
      </c>
    </row>
    <row r="182" spans="8:18">
      <c r="H182" s="2"/>
      <c r="Q182" s="102"/>
      <c r="R182" s="389" t="e">
        <f>MAX(0,'2023.06 to 2024.05 LC'!$F188-$Q$6)</f>
        <v>#VALUE!</v>
      </c>
    </row>
    <row r="183" spans="8:18">
      <c r="H183" s="2"/>
      <c r="R183" s="389" t="e">
        <f>MAX(0,'2023.06 to 2024.05 LC'!$F189-$Q$6)</f>
        <v>#VALUE!</v>
      </c>
    </row>
    <row r="184" spans="8:18">
      <c r="H184" s="2"/>
      <c r="R184" s="389" t="e">
        <f>MAX(0,'2023.06 to 2024.05 LC'!$F190-$Q$6)</f>
        <v>#VALUE!</v>
      </c>
    </row>
    <row r="185" spans="8:18">
      <c r="H185" s="2"/>
      <c r="Q185" s="102"/>
      <c r="R185" s="389" t="e">
        <f>MAX(0,'2023.06 to 2024.05 LC'!$F191-$Q$6)</f>
        <v>#VALUE!</v>
      </c>
    </row>
    <row r="186" spans="8:18">
      <c r="H186" s="2"/>
      <c r="R186" s="389" t="e">
        <f>MAX(0,'2023.06 to 2024.05 LC'!$F192-$Q$6)</f>
        <v>#VALUE!</v>
      </c>
    </row>
    <row r="187" spans="8:18">
      <c r="H187" s="2"/>
      <c r="R187" s="389" t="e">
        <f>MAX(0,'2023.06 to 2024.05 LC'!$F193-$Q$6)</f>
        <v>#VALUE!</v>
      </c>
    </row>
    <row r="188" spans="8:18">
      <c r="H188" s="2"/>
      <c r="Q188" s="102"/>
      <c r="R188" s="389" t="e">
        <f>MAX(0,'2023.06 to 2024.05 LC'!$F194-$Q$6)</f>
        <v>#VALUE!</v>
      </c>
    </row>
    <row r="189" spans="8:18">
      <c r="H189" s="2"/>
      <c r="R189" s="389" t="e">
        <f>MAX(0,'2023.06 to 2024.05 LC'!$F195-$Q$6)</f>
        <v>#VALUE!</v>
      </c>
    </row>
    <row r="190" spans="8:18">
      <c r="H190" s="2"/>
      <c r="R190" s="389" t="e">
        <f>MAX(0,'2023.06 to 2024.05 LC'!$F196-$Q$6)</f>
        <v>#VALUE!</v>
      </c>
    </row>
    <row r="191" spans="8:18">
      <c r="H191" s="2"/>
      <c r="Q191" s="102"/>
      <c r="R191" s="389" t="e">
        <f>MAX(0,'2023.06 to 2024.05 LC'!$F197-$Q$6)</f>
        <v>#VALUE!</v>
      </c>
    </row>
    <row r="192" spans="8:18">
      <c r="H192" s="2"/>
      <c r="R192" s="389" t="e">
        <f>MAX(0,'2023.06 to 2024.05 LC'!$F198-$Q$6)</f>
        <v>#VALUE!</v>
      </c>
    </row>
    <row r="193" spans="8:18">
      <c r="H193" s="2"/>
      <c r="R193" s="389" t="e">
        <f>MAX(0,'2023.06 to 2024.05 LC'!$F199-$Q$6)</f>
        <v>#VALUE!</v>
      </c>
    </row>
    <row r="194" spans="8:18">
      <c r="H194" s="2"/>
      <c r="Q194" s="102"/>
      <c r="R194" s="389" t="e">
        <f>MAX(0,'2023.06 to 2024.05 LC'!$F200-$Q$6)</f>
        <v>#VALUE!</v>
      </c>
    </row>
    <row r="195" spans="8:18">
      <c r="H195" s="2"/>
      <c r="R195" s="389" t="e">
        <f>MAX(0,'2023.06 to 2024.05 LC'!$F201-$Q$6)</f>
        <v>#VALUE!</v>
      </c>
    </row>
    <row r="196" spans="8:18">
      <c r="H196" s="2"/>
      <c r="R196" s="389" t="e">
        <f>MAX(0,'2023.06 to 2024.05 LC'!$F202-$Q$6)</f>
        <v>#VALUE!</v>
      </c>
    </row>
    <row r="197" spans="8:18">
      <c r="H197" s="2"/>
      <c r="Q197" s="102"/>
      <c r="R197" s="389" t="e">
        <f>MAX(0,'2023.06 to 2024.05 LC'!$F203-$Q$6)</f>
        <v>#VALUE!</v>
      </c>
    </row>
    <row r="198" spans="8:18">
      <c r="H198" s="2"/>
      <c r="R198" s="389" t="e">
        <f>MAX(0,'2023.06 to 2024.05 LC'!$F204-$Q$6)</f>
        <v>#VALUE!</v>
      </c>
    </row>
    <row r="199" spans="8:18">
      <c r="H199" s="2"/>
      <c r="R199" s="389" t="e">
        <f>MAX(0,'2023.06 to 2024.05 LC'!$F205-$Q$6)</f>
        <v>#VALUE!</v>
      </c>
    </row>
    <row r="200" spans="8:18">
      <c r="H200" s="2"/>
      <c r="Q200" s="102"/>
      <c r="R200" s="389" t="e">
        <f>MAX(0,'2023.06 to 2024.05 LC'!$F206-$Q$6)</f>
        <v>#VALUE!</v>
      </c>
    </row>
    <row r="201" spans="8:18">
      <c r="H201" s="2"/>
      <c r="R201" s="389" t="e">
        <f>MAX(0,'2023.06 to 2024.05 LC'!$F207-$Q$6)</f>
        <v>#VALUE!</v>
      </c>
    </row>
    <row r="202" spans="8:18">
      <c r="H202" s="2"/>
      <c r="R202" s="389">
        <f>MAX(0,'2023.06 to 2024.05 LC'!$F208-$Q$6)</f>
        <v>0</v>
      </c>
    </row>
    <row r="203" spans="8:18">
      <c r="H203" s="2"/>
      <c r="Q203" s="102"/>
      <c r="R203" s="389">
        <f>MAX(0,'2023.06 to 2024.05 LC'!$F209-$Q$6)</f>
        <v>0</v>
      </c>
    </row>
    <row r="204" spans="8:18">
      <c r="H204" s="2"/>
      <c r="R204" s="389">
        <f>MAX(0,'2023.06 to 2024.05 LC'!$F210-$Q$6)</f>
        <v>0</v>
      </c>
    </row>
    <row r="205" spans="8:18">
      <c r="H205" s="2"/>
      <c r="R205" s="389">
        <f>MAX(0,'2023.06 to 2024.05 LC'!$F211-$Q$6)</f>
        <v>0</v>
      </c>
    </row>
    <row r="206" spans="8:18">
      <c r="H206" s="2"/>
      <c r="Q206" s="102"/>
      <c r="R206" s="389">
        <f>MAX(0,'2023.06 to 2024.05 LC'!$F212-$Q$6)</f>
        <v>0</v>
      </c>
    </row>
    <row r="207" spans="8:18">
      <c r="H207" s="2"/>
      <c r="R207" s="389">
        <f>MAX(0,'2023.06 to 2024.05 LC'!$F213-$Q$6)</f>
        <v>0</v>
      </c>
    </row>
    <row r="208" spans="8:18">
      <c r="H208" s="2"/>
      <c r="R208" s="389">
        <f>MAX(0,'2023.06 to 2024.05 LC'!$F214-$Q$6)</f>
        <v>0</v>
      </c>
    </row>
    <row r="209" spans="8:18">
      <c r="H209" s="2"/>
      <c r="Q209" s="102"/>
      <c r="R209" s="389">
        <f>MAX(0,'2023.06 to 2024.05 LC'!$F215-$Q$6)</f>
        <v>0</v>
      </c>
    </row>
    <row r="210" spans="8:18">
      <c r="H210" s="2"/>
      <c r="R210" s="389">
        <f>MAX(0,'2023.06 to 2024.05 LC'!$F216-$Q$6)</f>
        <v>0</v>
      </c>
    </row>
    <row r="211" spans="8:18">
      <c r="H211" s="2"/>
      <c r="R211" s="389">
        <f>MAX(0,'2023.06 to 2024.05 LC'!$F217-$Q$6)</f>
        <v>0</v>
      </c>
    </row>
    <row r="212" spans="8:18">
      <c r="H212" s="2"/>
      <c r="Q212" s="102"/>
      <c r="R212" s="389">
        <f>MAX(0,'2023.06 to 2024.05 LC'!$F218-$Q$6)</f>
        <v>0</v>
      </c>
    </row>
    <row r="213" spans="8:18">
      <c r="H213" s="2"/>
      <c r="R213" s="389">
        <f>MAX(0,'2023.06 to 2024.05 LC'!$F219-$Q$6)</f>
        <v>0</v>
      </c>
    </row>
    <row r="214" spans="8:18">
      <c r="H214" s="2"/>
      <c r="R214" s="389">
        <f>MAX(0,'2023.06 to 2024.05 LC'!$F220-$Q$6)</f>
        <v>0</v>
      </c>
    </row>
    <row r="215" spans="8:18">
      <c r="H215" s="2"/>
      <c r="Q215" s="102"/>
      <c r="R215" s="389">
        <f>MAX(0,'2023.06 to 2024.05 LC'!$F221-$Q$6)</f>
        <v>0</v>
      </c>
    </row>
    <row r="216" spans="8:18">
      <c r="H216" s="2"/>
      <c r="R216" s="389">
        <f>MAX(0,'2023.06 to 2024.05 LC'!$F222-$Q$6)</f>
        <v>0</v>
      </c>
    </row>
    <row r="217" spans="8:18">
      <c r="H217" s="2"/>
      <c r="R217" s="389">
        <f>MAX(0,'2023.06 to 2024.05 LC'!$F223-$Q$6)</f>
        <v>0</v>
      </c>
    </row>
    <row r="218" spans="8:18">
      <c r="H218" s="2"/>
      <c r="Q218" s="102"/>
      <c r="R218" s="389">
        <f>MAX(0,'2023.06 to 2024.05 LC'!$F224-$Q$6)</f>
        <v>0</v>
      </c>
    </row>
    <row r="219" spans="8:18">
      <c r="H219" s="2"/>
      <c r="R219" s="389">
        <f>MAX(0,'2023.06 to 2024.05 LC'!$F225-$Q$6)</f>
        <v>0</v>
      </c>
    </row>
    <row r="220" spans="8:18">
      <c r="H220" s="2"/>
      <c r="R220" s="389">
        <f>MAX(0,'2023.06 to 2024.05 LC'!$F226-$Q$6)</f>
        <v>0</v>
      </c>
    </row>
    <row r="221" spans="8:18">
      <c r="H221" s="2"/>
      <c r="Q221" s="102"/>
      <c r="R221" s="389">
        <f>MAX(0,'2023.06 to 2024.05 LC'!$F227-$Q$6)</f>
        <v>0</v>
      </c>
    </row>
    <row r="222" spans="8:18">
      <c r="H222" s="2"/>
      <c r="R222" s="389">
        <f>MAX(0,'2023.06 to 2024.05 LC'!$F228-$Q$6)</f>
        <v>0</v>
      </c>
    </row>
    <row r="223" spans="8:18">
      <c r="H223" s="2"/>
      <c r="R223" s="389">
        <f>MAX(0,'2023.06 to 2024.05 LC'!$F229-$Q$6)</f>
        <v>0</v>
      </c>
    </row>
    <row r="224" spans="8:18">
      <c r="H224" s="2"/>
      <c r="Q224" s="102"/>
      <c r="R224" s="389">
        <f>MAX(0,'2023.06 to 2024.05 LC'!$F230-$Q$6)</f>
        <v>0</v>
      </c>
    </row>
    <row r="225" spans="8:18" ht="15.75" thickBot="1">
      <c r="H225" s="2"/>
      <c r="R225" s="390">
        <f>MAX(0,'2023.06 to 2024.05 LC'!$F231-$Q$6)</f>
        <v>0</v>
      </c>
    </row>
    <row r="226" spans="8:18">
      <c r="H226" s="2"/>
      <c r="Q226" s="55" t="s">
        <v>60</v>
      </c>
      <c r="R226" s="64" t="e">
        <f>(SUM($R$6:$R$225)-$Q$7)</f>
        <v>#VALUE!</v>
      </c>
    </row>
    <row r="227" spans="8:18">
      <c r="H227" s="2"/>
      <c r="Q227" s="55" t="s">
        <v>61</v>
      </c>
      <c r="R227" s="55">
        <f>COUNTIF($R$6:$R$225,"&gt;0")</f>
        <v>0</v>
      </c>
    </row>
    <row r="228" spans="8:18">
      <c r="H228" s="2"/>
    </row>
    <row r="229" spans="8:18">
      <c r="H229" s="2"/>
    </row>
    <row r="230" spans="8:18">
      <c r="H230" s="2"/>
    </row>
    <row r="231" spans="8:18">
      <c r="H231" s="2"/>
    </row>
    <row r="232" spans="8:18">
      <c r="H232" s="2"/>
    </row>
    <row r="233" spans="8:18">
      <c r="H233" s="2"/>
    </row>
    <row r="234" spans="8:18">
      <c r="H234" s="2"/>
    </row>
    <row r="235" spans="8:18">
      <c r="H235" s="2"/>
    </row>
    <row r="236" spans="8:18">
      <c r="H236" s="2"/>
    </row>
    <row r="237" spans="8:18">
      <c r="H237" s="2"/>
    </row>
    <row r="238" spans="8:18">
      <c r="H238" s="2"/>
    </row>
    <row r="239" spans="8:18">
      <c r="H239" s="2"/>
    </row>
    <row r="240" spans="8:18">
      <c r="H240" s="2"/>
    </row>
    <row r="241" spans="8:8">
      <c r="H241" s="2"/>
    </row>
    <row r="242" spans="8:8">
      <c r="H242" s="2"/>
    </row>
    <row r="243" spans="8:8">
      <c r="H243" s="2"/>
    </row>
    <row r="244" spans="8:8">
      <c r="H244" s="2"/>
    </row>
    <row r="245" spans="8:8">
      <c r="H245" s="2"/>
    </row>
    <row r="246" spans="8:8">
      <c r="H246" s="2"/>
    </row>
    <row r="247" spans="8:8">
      <c r="H247" s="2"/>
    </row>
    <row r="248" spans="8:8">
      <c r="H248" s="2"/>
    </row>
    <row r="249" spans="8:8">
      <c r="H249" s="2"/>
    </row>
    <row r="250" spans="8:8">
      <c r="H250" s="2"/>
    </row>
    <row r="251" spans="8:8">
      <c r="H251" s="2"/>
    </row>
    <row r="252" spans="8:8">
      <c r="H252" s="2"/>
    </row>
    <row r="253" spans="8:8">
      <c r="H253" s="2"/>
    </row>
    <row r="254" spans="8:8">
      <c r="H254" s="2"/>
    </row>
    <row r="255" spans="8:8">
      <c r="H255" s="2"/>
    </row>
    <row r="256" spans="8:8">
      <c r="H256" s="2"/>
    </row>
    <row r="257" spans="8:8">
      <c r="H257" s="2"/>
    </row>
    <row r="258" spans="8:8">
      <c r="H258" s="2"/>
    </row>
    <row r="259" spans="8:8">
      <c r="H259" s="2"/>
    </row>
    <row r="260" spans="8:8">
      <c r="H260" s="2"/>
    </row>
    <row r="261" spans="8:8">
      <c r="H261" s="2"/>
    </row>
    <row r="262" spans="8:8">
      <c r="H262" s="2"/>
    </row>
    <row r="263" spans="8:8">
      <c r="H263" s="2"/>
    </row>
    <row r="264" spans="8:8">
      <c r="H264" s="2"/>
    </row>
    <row r="265" spans="8:8">
      <c r="H265" s="2"/>
    </row>
    <row r="266" spans="8:8">
      <c r="H266" s="2"/>
    </row>
    <row r="267" spans="8:8">
      <c r="H267" s="2"/>
    </row>
    <row r="268" spans="8:8">
      <c r="H268" s="2"/>
    </row>
    <row r="269" spans="8:8">
      <c r="H269" s="2"/>
    </row>
    <row r="270" spans="8:8">
      <c r="H270" s="2"/>
    </row>
    <row r="271" spans="8:8">
      <c r="H271" s="2"/>
    </row>
    <row r="272" spans="8:8">
      <c r="H272" s="2"/>
    </row>
    <row r="273" spans="8:8">
      <c r="H273" s="2"/>
    </row>
    <row r="274" spans="8:8">
      <c r="H274" s="2"/>
    </row>
    <row r="275" spans="8:8">
      <c r="H275" s="2"/>
    </row>
    <row r="276" spans="8:8">
      <c r="H276" s="2"/>
    </row>
    <row r="277" spans="8:8">
      <c r="H277" s="2"/>
    </row>
    <row r="278" spans="8:8">
      <c r="H278" s="2"/>
    </row>
    <row r="279" spans="8:8">
      <c r="H279" s="2"/>
    </row>
    <row r="280" spans="8:8">
      <c r="H280" s="2"/>
    </row>
    <row r="281" spans="8:8">
      <c r="H281" s="2"/>
    </row>
    <row r="282" spans="8:8">
      <c r="H282" s="2"/>
    </row>
    <row r="283" spans="8:8">
      <c r="H283" s="2"/>
    </row>
    <row r="284" spans="8:8">
      <c r="H284" s="2"/>
    </row>
    <row r="285" spans="8:8">
      <c r="H285" s="2"/>
    </row>
    <row r="286" spans="8:8">
      <c r="H286" s="2"/>
    </row>
    <row r="287" spans="8:8">
      <c r="H287" s="2"/>
    </row>
    <row r="288" spans="8:8">
      <c r="H288" s="2"/>
    </row>
    <row r="289" spans="8:8">
      <c r="H289" s="2"/>
    </row>
    <row r="290" spans="8:8">
      <c r="H290" s="2"/>
    </row>
    <row r="291" spans="8:8">
      <c r="H291" s="2"/>
    </row>
    <row r="292" spans="8:8">
      <c r="H292" s="2"/>
    </row>
    <row r="293" spans="8:8">
      <c r="H293" s="2"/>
    </row>
    <row r="294" spans="8:8">
      <c r="H294" s="2"/>
    </row>
    <row r="295" spans="8:8">
      <c r="H295" s="2"/>
    </row>
    <row r="296" spans="8:8">
      <c r="H296" s="2"/>
    </row>
    <row r="297" spans="8:8">
      <c r="H297" s="2"/>
    </row>
    <row r="298" spans="8:8">
      <c r="H298" s="2"/>
    </row>
    <row r="299" spans="8:8">
      <c r="H299" s="2"/>
    </row>
    <row r="300" spans="8:8">
      <c r="H300" s="2"/>
    </row>
    <row r="301" spans="8:8">
      <c r="H301" s="2"/>
    </row>
    <row r="302" spans="8:8">
      <c r="H302" s="2"/>
    </row>
    <row r="303" spans="8:8">
      <c r="H303" s="2"/>
    </row>
    <row r="304" spans="8:8">
      <c r="H304" s="2"/>
    </row>
    <row r="305" spans="8:8">
      <c r="H305" s="2"/>
    </row>
    <row r="306" spans="8:8">
      <c r="H306" s="2"/>
    </row>
    <row r="307" spans="8:8">
      <c r="H307" s="2"/>
    </row>
    <row r="308" spans="8:8">
      <c r="H308" s="2"/>
    </row>
    <row r="309" spans="8:8">
      <c r="H309" s="2"/>
    </row>
    <row r="310" spans="8:8">
      <c r="H310" s="2"/>
    </row>
    <row r="311" spans="8:8">
      <c r="H311" s="2"/>
    </row>
    <row r="312" spans="8:8">
      <c r="H312" s="2"/>
    </row>
    <row r="313" spans="8:8">
      <c r="H313" s="2"/>
    </row>
    <row r="314" spans="8:8">
      <c r="H314" s="2"/>
    </row>
    <row r="315" spans="8:8">
      <c r="H315" s="2"/>
    </row>
    <row r="316" spans="8:8">
      <c r="H316" s="2"/>
    </row>
    <row r="317" spans="8:8">
      <c r="H317" s="2"/>
    </row>
    <row r="318" spans="8:8">
      <c r="H318" s="2"/>
    </row>
    <row r="319" spans="8:8">
      <c r="H319" s="2"/>
    </row>
    <row r="320" spans="8:8">
      <c r="H320" s="2"/>
    </row>
    <row r="321" spans="8:8">
      <c r="H321" s="2"/>
    </row>
    <row r="322" spans="8:8">
      <c r="H322" s="2"/>
    </row>
    <row r="323" spans="8:8">
      <c r="H323" s="2"/>
    </row>
    <row r="324" spans="8:8">
      <c r="H324" s="2"/>
    </row>
    <row r="325" spans="8:8">
      <c r="H325" s="2"/>
    </row>
    <row r="326" spans="8:8">
      <c r="H326" s="2"/>
    </row>
    <row r="327" spans="8:8">
      <c r="H327" s="2"/>
    </row>
    <row r="328" spans="8:8">
      <c r="H328" s="2"/>
    </row>
    <row r="329" spans="8:8">
      <c r="H329" s="2"/>
    </row>
    <row r="330" spans="8:8">
      <c r="H330" s="2"/>
    </row>
    <row r="331" spans="8:8">
      <c r="H331" s="2"/>
    </row>
    <row r="332" spans="8:8">
      <c r="H332" s="2"/>
    </row>
    <row r="333" spans="8:8">
      <c r="H333" s="2"/>
    </row>
    <row r="334" spans="8:8">
      <c r="H334" s="2"/>
    </row>
    <row r="335" spans="8:8">
      <c r="H335" s="2"/>
    </row>
    <row r="336" spans="8:8">
      <c r="H336" s="2"/>
    </row>
    <row r="337" spans="8:8">
      <c r="H337" s="2"/>
    </row>
    <row r="338" spans="8:8">
      <c r="H338" s="2"/>
    </row>
    <row r="339" spans="8:8">
      <c r="H339" s="2"/>
    </row>
    <row r="340" spans="8:8">
      <c r="H340" s="2"/>
    </row>
    <row r="341" spans="8:8">
      <c r="H341" s="2"/>
    </row>
    <row r="342" spans="8:8">
      <c r="H342" s="2"/>
    </row>
    <row r="343" spans="8:8">
      <c r="H343" s="2"/>
    </row>
    <row r="344" spans="8:8">
      <c r="H344" s="2"/>
    </row>
    <row r="345" spans="8:8">
      <c r="H345" s="2"/>
    </row>
    <row r="346" spans="8:8">
      <c r="H346" s="2"/>
    </row>
    <row r="347" spans="8:8">
      <c r="H347" s="2"/>
    </row>
    <row r="348" spans="8:8">
      <c r="H348" s="2"/>
    </row>
    <row r="349" spans="8:8">
      <c r="H349" s="2"/>
    </row>
    <row r="350" spans="8:8">
      <c r="H350" s="2"/>
    </row>
    <row r="351" spans="8:8">
      <c r="H351" s="2"/>
    </row>
    <row r="352" spans="8:8">
      <c r="H352" s="2"/>
    </row>
    <row r="353" spans="8:8">
      <c r="H353" s="2"/>
    </row>
    <row r="354" spans="8:8">
      <c r="H354" s="2"/>
    </row>
    <row r="355" spans="8:8">
      <c r="H355" s="2"/>
    </row>
    <row r="356" spans="8:8">
      <c r="H356" s="2"/>
    </row>
    <row r="357" spans="8:8">
      <c r="H357" s="2"/>
    </row>
    <row r="358" spans="8:8">
      <c r="H358" s="2"/>
    </row>
    <row r="359" spans="8:8">
      <c r="H359" s="2"/>
    </row>
    <row r="360" spans="8:8">
      <c r="H360" s="2"/>
    </row>
    <row r="361" spans="8:8">
      <c r="H361" s="2"/>
    </row>
    <row r="362" spans="8:8">
      <c r="H362" s="2"/>
    </row>
    <row r="363" spans="8:8">
      <c r="H363" s="2"/>
    </row>
    <row r="364" spans="8:8">
      <c r="H364" s="2"/>
    </row>
    <row r="365" spans="8:8">
      <c r="H365" s="2"/>
    </row>
    <row r="366" spans="8:8">
      <c r="H366" s="2"/>
    </row>
    <row r="367" spans="8:8">
      <c r="H367" s="2"/>
    </row>
    <row r="368" spans="8:8">
      <c r="H368" s="2"/>
    </row>
    <row r="369" spans="8:8">
      <c r="H369" s="2"/>
    </row>
    <row r="370" spans="8:8">
      <c r="H370" s="2"/>
    </row>
    <row r="371" spans="8:8">
      <c r="H371" s="2"/>
    </row>
    <row r="372" spans="8:8">
      <c r="H372" s="2"/>
    </row>
    <row r="373" spans="8:8">
      <c r="H373" s="2"/>
    </row>
    <row r="374" spans="8:8">
      <c r="H374" s="2"/>
    </row>
    <row r="375" spans="8:8">
      <c r="H375" s="2"/>
    </row>
    <row r="376" spans="8:8">
      <c r="H376" s="2"/>
    </row>
    <row r="377" spans="8:8">
      <c r="H377" s="2"/>
    </row>
    <row r="378" spans="8:8">
      <c r="H378" s="2"/>
    </row>
    <row r="379" spans="8:8">
      <c r="H379" s="2"/>
    </row>
    <row r="380" spans="8:8">
      <c r="H380" s="2"/>
    </row>
    <row r="381" spans="8:8">
      <c r="H381" s="2"/>
    </row>
    <row r="382" spans="8:8">
      <c r="H382" s="2"/>
    </row>
    <row r="383" spans="8:8">
      <c r="H383" s="2"/>
    </row>
    <row r="384" spans="8:8">
      <c r="H384" s="2"/>
    </row>
    <row r="385" spans="8:8">
      <c r="H385" s="2"/>
    </row>
    <row r="386" spans="8:8">
      <c r="H386" s="2"/>
    </row>
    <row r="387" spans="8:8">
      <c r="H387" s="2"/>
    </row>
    <row r="388" spans="8:8">
      <c r="H388" s="2"/>
    </row>
    <row r="389" spans="8:8">
      <c r="H389" s="2"/>
    </row>
    <row r="390" spans="8:8">
      <c r="H390" s="2"/>
    </row>
    <row r="391" spans="8:8">
      <c r="H391" s="2"/>
    </row>
    <row r="392" spans="8:8">
      <c r="H392" s="2"/>
    </row>
    <row r="393" spans="8:8">
      <c r="H393" s="2"/>
    </row>
    <row r="394" spans="8:8">
      <c r="H394" s="2"/>
    </row>
    <row r="395" spans="8:8">
      <c r="H395" s="2"/>
    </row>
    <row r="396" spans="8:8">
      <c r="H396" s="2"/>
    </row>
    <row r="397" spans="8:8">
      <c r="H397" s="2"/>
    </row>
    <row r="398" spans="8:8">
      <c r="H398" s="2"/>
    </row>
    <row r="399" spans="8:8">
      <c r="H399" s="2"/>
    </row>
    <row r="400" spans="8:8">
      <c r="H400" s="2"/>
    </row>
    <row r="401" spans="8:8">
      <c r="H401" s="2"/>
    </row>
    <row r="402" spans="8:8">
      <c r="H402" s="2"/>
    </row>
    <row r="403" spans="8:8">
      <c r="H403" s="2"/>
    </row>
    <row r="404" spans="8:8">
      <c r="H404" s="2"/>
    </row>
    <row r="405" spans="8:8">
      <c r="H405" s="2"/>
    </row>
    <row r="406" spans="8:8">
      <c r="H406" s="2"/>
    </row>
    <row r="407" spans="8:8">
      <c r="H407" s="2"/>
    </row>
    <row r="408" spans="8:8">
      <c r="H408" s="2"/>
    </row>
    <row r="409" spans="8:8">
      <c r="H409" s="2"/>
    </row>
    <row r="410" spans="8:8">
      <c r="H410" s="2"/>
    </row>
    <row r="411" spans="8:8">
      <c r="H411" s="2"/>
    </row>
    <row r="412" spans="8:8">
      <c r="H412" s="2"/>
    </row>
    <row r="413" spans="8:8">
      <c r="H413" s="2"/>
    </row>
    <row r="414" spans="8:8">
      <c r="H414" s="2"/>
    </row>
    <row r="415" spans="8:8">
      <c r="H415" s="2"/>
    </row>
    <row r="416" spans="8:8">
      <c r="H416" s="2"/>
    </row>
    <row r="417" spans="8:8">
      <c r="H417" s="2"/>
    </row>
    <row r="418" spans="8:8">
      <c r="H418" s="2"/>
    </row>
    <row r="419" spans="8:8">
      <c r="H419" s="2"/>
    </row>
    <row r="420" spans="8:8">
      <c r="H420" s="2"/>
    </row>
    <row r="421" spans="8:8">
      <c r="H421" s="2"/>
    </row>
    <row r="422" spans="8:8">
      <c r="H422" s="2"/>
    </row>
    <row r="423" spans="8:8">
      <c r="H423" s="2"/>
    </row>
    <row r="424" spans="8:8">
      <c r="H424" s="2"/>
    </row>
    <row r="425" spans="8:8">
      <c r="H425" s="2"/>
    </row>
    <row r="426" spans="8:8">
      <c r="H426" s="2"/>
    </row>
    <row r="427" spans="8:8">
      <c r="H427" s="2"/>
    </row>
    <row r="428" spans="8:8">
      <c r="H428" s="2"/>
    </row>
    <row r="429" spans="8:8">
      <c r="H429" s="2"/>
    </row>
    <row r="430" spans="8:8">
      <c r="H430" s="2"/>
    </row>
    <row r="431" spans="8:8">
      <c r="H431" s="2"/>
    </row>
    <row r="432" spans="8:8">
      <c r="H432" s="2"/>
    </row>
    <row r="433" spans="8:8">
      <c r="H433" s="2"/>
    </row>
    <row r="434" spans="8:8">
      <c r="H434" s="2"/>
    </row>
    <row r="435" spans="8:8">
      <c r="H435" s="2"/>
    </row>
    <row r="436" spans="8:8">
      <c r="H436" s="2"/>
    </row>
    <row r="437" spans="8:8">
      <c r="H437" s="2"/>
    </row>
    <row r="438" spans="8:8">
      <c r="H438" s="2"/>
    </row>
    <row r="439" spans="8:8">
      <c r="H439" s="2"/>
    </row>
    <row r="440" spans="8:8">
      <c r="H440" s="2"/>
    </row>
    <row r="441" spans="8:8">
      <c r="H441" s="2"/>
    </row>
    <row r="442" spans="8:8">
      <c r="H442" s="2"/>
    </row>
    <row r="443" spans="8:8">
      <c r="H443" s="2"/>
    </row>
    <row r="444" spans="8:8">
      <c r="H444" s="2"/>
    </row>
    <row r="445" spans="8:8">
      <c r="H445" s="2"/>
    </row>
    <row r="446" spans="8:8">
      <c r="H446" s="2"/>
    </row>
    <row r="447" spans="8:8">
      <c r="H447" s="2"/>
    </row>
    <row r="448" spans="8:8">
      <c r="H448" s="2"/>
    </row>
    <row r="449" spans="8:8">
      <c r="H449" s="2"/>
    </row>
    <row r="450" spans="8:8">
      <c r="H450" s="2"/>
    </row>
    <row r="451" spans="8:8">
      <c r="H451" s="2"/>
    </row>
    <row r="452" spans="8:8">
      <c r="H452" s="2"/>
    </row>
    <row r="453" spans="8:8">
      <c r="H453" s="2"/>
    </row>
    <row r="454" spans="8:8">
      <c r="H454" s="2"/>
    </row>
    <row r="455" spans="8:8">
      <c r="H455" s="2"/>
    </row>
    <row r="456" spans="8:8">
      <c r="H456" s="2"/>
    </row>
    <row r="457" spans="8:8">
      <c r="H457" s="2"/>
    </row>
    <row r="458" spans="8:8">
      <c r="H458" s="2"/>
    </row>
    <row r="459" spans="8:8">
      <c r="H459" s="2"/>
    </row>
    <row r="460" spans="8:8">
      <c r="H460" s="2"/>
    </row>
    <row r="461" spans="8:8">
      <c r="H461" s="2"/>
    </row>
    <row r="462" spans="8:8">
      <c r="H462" s="2"/>
    </row>
    <row r="463" spans="8:8">
      <c r="H463" s="2"/>
    </row>
    <row r="464" spans="8:8">
      <c r="H464" s="2"/>
    </row>
    <row r="465" spans="8:8">
      <c r="H465" s="2"/>
    </row>
    <row r="466" spans="8:8">
      <c r="H466" s="2"/>
    </row>
    <row r="467" spans="8:8">
      <c r="H467" s="2"/>
    </row>
    <row r="468" spans="8:8">
      <c r="H468" s="2"/>
    </row>
    <row r="469" spans="8:8">
      <c r="H469" s="2"/>
    </row>
    <row r="470" spans="8:8">
      <c r="H470" s="2"/>
    </row>
    <row r="471" spans="8:8">
      <c r="H471" s="2"/>
    </row>
    <row r="472" spans="8:8">
      <c r="H472" s="2"/>
    </row>
    <row r="473" spans="8:8">
      <c r="H473" s="2"/>
    </row>
    <row r="474" spans="8:8">
      <c r="H474" s="2"/>
    </row>
    <row r="475" spans="8:8">
      <c r="H475" s="2"/>
    </row>
    <row r="476" spans="8:8">
      <c r="H476" s="2"/>
    </row>
    <row r="477" spans="8:8">
      <c r="H477" s="2"/>
    </row>
    <row r="478" spans="8:8">
      <c r="H478" s="2"/>
    </row>
    <row r="479" spans="8:8">
      <c r="H479" s="2"/>
    </row>
    <row r="480" spans="8:8">
      <c r="H480" s="2"/>
    </row>
    <row r="481" spans="8:8">
      <c r="H481" s="2"/>
    </row>
    <row r="482" spans="8:8">
      <c r="H482" s="2"/>
    </row>
    <row r="483" spans="8:8">
      <c r="H483" s="2"/>
    </row>
    <row r="484" spans="8:8">
      <c r="H484" s="2"/>
    </row>
    <row r="485" spans="8:8">
      <c r="H485" s="2"/>
    </row>
    <row r="486" spans="8:8">
      <c r="H486" s="2"/>
    </row>
    <row r="487" spans="8:8">
      <c r="H487" s="2"/>
    </row>
    <row r="488" spans="8:8">
      <c r="H488" s="2"/>
    </row>
    <row r="489" spans="8:8">
      <c r="H489" s="2"/>
    </row>
    <row r="490" spans="8:8">
      <c r="H490" s="2"/>
    </row>
    <row r="491" spans="8:8">
      <c r="H491" s="2"/>
    </row>
    <row r="492" spans="8:8">
      <c r="H492" s="2"/>
    </row>
    <row r="493" spans="8:8">
      <c r="H493" s="2"/>
    </row>
    <row r="494" spans="8:8">
      <c r="H494" s="2"/>
    </row>
    <row r="495" spans="8:8">
      <c r="H495" s="2"/>
    </row>
    <row r="496" spans="8:8">
      <c r="H496" s="2"/>
    </row>
    <row r="497" spans="8:8">
      <c r="H497" s="2"/>
    </row>
    <row r="498" spans="8:8">
      <c r="H498" s="2"/>
    </row>
    <row r="499" spans="8:8">
      <c r="H499" s="2"/>
    </row>
    <row r="500" spans="8:8">
      <c r="H500" s="2"/>
    </row>
    <row r="501" spans="8:8">
      <c r="H501" s="2"/>
    </row>
    <row r="502" spans="8:8">
      <c r="H502" s="2"/>
    </row>
    <row r="503" spans="8:8">
      <c r="H503" s="2"/>
    </row>
    <row r="504" spans="8:8">
      <c r="H504" s="2"/>
    </row>
    <row r="505" spans="8:8">
      <c r="H505" s="2"/>
    </row>
    <row r="506" spans="8:8">
      <c r="H506" s="2"/>
    </row>
    <row r="507" spans="8:8">
      <c r="H507" s="2"/>
    </row>
    <row r="508" spans="8:8">
      <c r="H508" s="2"/>
    </row>
    <row r="509" spans="8:8">
      <c r="H509" s="2"/>
    </row>
    <row r="510" spans="8:8">
      <c r="H510" s="2"/>
    </row>
    <row r="511" spans="8:8">
      <c r="H511" s="2"/>
    </row>
    <row r="512" spans="8:8">
      <c r="H512" s="2"/>
    </row>
    <row r="513" spans="8:8">
      <c r="H513" s="2"/>
    </row>
    <row r="514" spans="8:8">
      <c r="H514" s="2"/>
    </row>
    <row r="515" spans="8:8">
      <c r="H515" s="2"/>
    </row>
    <row r="516" spans="8:8">
      <c r="H516" s="2"/>
    </row>
    <row r="517" spans="8:8">
      <c r="H517" s="2"/>
    </row>
    <row r="518" spans="8:8">
      <c r="H518" s="2"/>
    </row>
    <row r="519" spans="8:8">
      <c r="H519" s="2"/>
    </row>
    <row r="520" spans="8:8">
      <c r="H520" s="2"/>
    </row>
    <row r="521" spans="8:8">
      <c r="H521" s="2"/>
    </row>
    <row r="522" spans="8:8">
      <c r="H522" s="2"/>
    </row>
    <row r="523" spans="8:8">
      <c r="H523" s="2"/>
    </row>
    <row r="524" spans="8:8">
      <c r="H524" s="2"/>
    </row>
    <row r="525" spans="8:8">
      <c r="H525" s="2"/>
    </row>
    <row r="526" spans="8:8">
      <c r="H526" s="2"/>
    </row>
    <row r="527" spans="8:8">
      <c r="H527" s="2"/>
    </row>
    <row r="528" spans="8:8">
      <c r="H528" s="2"/>
    </row>
    <row r="529" spans="8:8">
      <c r="H529" s="2"/>
    </row>
    <row r="530" spans="8:8">
      <c r="H530" s="2"/>
    </row>
    <row r="531" spans="8:8">
      <c r="H531" s="2"/>
    </row>
    <row r="532" spans="8:8">
      <c r="H532" s="2"/>
    </row>
    <row r="533" spans="8:8">
      <c r="H533" s="2"/>
    </row>
    <row r="534" spans="8:8">
      <c r="H534" s="2"/>
    </row>
    <row r="535" spans="8:8">
      <c r="H535" s="2"/>
    </row>
    <row r="536" spans="8:8">
      <c r="H536" s="2"/>
    </row>
    <row r="537" spans="8:8">
      <c r="H537" s="2"/>
    </row>
    <row r="538" spans="8:8">
      <c r="H538" s="2"/>
    </row>
    <row r="539" spans="8:8">
      <c r="H539" s="2"/>
    </row>
    <row r="540" spans="8:8">
      <c r="H540" s="2"/>
    </row>
    <row r="541" spans="8:8">
      <c r="H541" s="2"/>
    </row>
    <row r="542" spans="8:8">
      <c r="H542" s="2"/>
    </row>
    <row r="543" spans="8:8">
      <c r="H543" s="2"/>
    </row>
    <row r="544" spans="8:8">
      <c r="H544" s="2"/>
    </row>
    <row r="545" spans="8:8">
      <c r="H545" s="2"/>
    </row>
    <row r="546" spans="8:8">
      <c r="H546" s="2"/>
    </row>
    <row r="547" spans="8:8">
      <c r="H547" s="2"/>
    </row>
  </sheetData>
  <mergeCells count="3">
    <mergeCell ref="C2:E2"/>
    <mergeCell ref="C5:E5"/>
    <mergeCell ref="D15:E15"/>
  </mergeCells>
  <printOptions horizontalCentered="1"/>
  <pageMargins left="0.34" right="0.28999999999999998" top="0.38" bottom="0.43" header="0.25" footer="0"/>
  <pageSetup paperSize="17" scale="31" orientation="landscape" r:id="rId1"/>
  <headerFooter alignWithMargins="0">
    <oddFooter xml:space="preserve">&amp;L&amp;"Arial,Regular"           Davidson Benefits Planning - An Alera Group Company 
&amp;C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A78E5-AC46-491E-81D3-BB6D811CB7B3}">
  <dimension ref="A1:U547"/>
  <sheetViews>
    <sheetView showGridLines="0" topLeftCell="C10" zoomScale="70" zoomScaleNormal="70" zoomScaleSheetLayoutView="75" workbookViewId="0">
      <selection activeCell="G35" sqref="G35:H35"/>
    </sheetView>
  </sheetViews>
  <sheetFormatPr defaultColWidth="10.21875" defaultRowHeight="15"/>
  <cols>
    <col min="1" max="1" width="11.33203125" style="2" hidden="1" customWidth="1"/>
    <col min="2" max="2" width="12.109375" style="2" hidden="1" customWidth="1"/>
    <col min="3" max="3" width="9.109375" style="2" customWidth="1"/>
    <col min="4" max="4" width="81.88671875" style="2" customWidth="1"/>
    <col min="5" max="5" width="33.77734375" style="2" customWidth="1"/>
    <col min="6" max="6" width="2.6640625" style="2" customWidth="1"/>
    <col min="7" max="7" width="19.109375" style="2" customWidth="1"/>
    <col min="8" max="8" width="2.33203125" style="3" customWidth="1"/>
    <col min="9" max="9" width="19.109375" style="2" customWidth="1"/>
    <col min="10" max="10" width="2.33203125" style="2" customWidth="1"/>
    <col min="11" max="11" width="19.109375" style="2" customWidth="1"/>
    <col min="12" max="12" width="4.6640625" style="2" customWidth="1"/>
    <col min="13" max="14" width="17.77734375" style="2" customWidth="1"/>
    <col min="15" max="15" width="10.21875" style="2" hidden="1" customWidth="1"/>
    <col min="16" max="16" width="22.77734375" style="2" hidden="1" customWidth="1"/>
    <col min="17" max="18" width="22.33203125" style="55" hidden="1" customWidth="1"/>
    <col min="19" max="19" width="8.33203125" style="2" hidden="1" customWidth="1"/>
    <col min="20" max="21" width="10.21875" style="2" hidden="1" customWidth="1"/>
    <col min="22" max="22" width="10.21875" style="2" customWidth="1"/>
    <col min="23" max="242" width="10.21875" style="2"/>
    <col min="243" max="244" width="0" style="2" hidden="1" customWidth="1"/>
    <col min="245" max="245" width="7.6640625" style="2" customWidth="1"/>
    <col min="246" max="246" width="4.21875" style="2" customWidth="1"/>
    <col min="247" max="247" width="98" style="2" customWidth="1"/>
    <col min="248" max="248" width="16.109375" style="2" customWidth="1"/>
    <col min="249" max="249" width="1.88671875" style="2" customWidth="1"/>
    <col min="250" max="250" width="15.88671875" style="2" customWidth="1"/>
    <col min="251" max="251" width="1.88671875" style="2" customWidth="1"/>
    <col min="252" max="252" width="13.33203125" style="2" customWidth="1"/>
    <col min="253" max="253" width="1.88671875" style="2" customWidth="1"/>
    <col min="254" max="254" width="13.33203125" style="2" customWidth="1"/>
    <col min="255" max="255" width="2.33203125" style="2" customWidth="1"/>
    <col min="256" max="256" width="2.109375" style="2" customWidth="1"/>
    <col min="257" max="257" width="16.77734375" style="2" customWidth="1"/>
    <col min="258" max="258" width="13.6640625" style="2" customWidth="1"/>
    <col min="259" max="268" width="8.6640625" style="2" customWidth="1"/>
    <col min="269" max="269" width="20.77734375" style="2" customWidth="1"/>
    <col min="270" max="498" width="10.21875" style="2"/>
    <col min="499" max="500" width="0" style="2" hidden="1" customWidth="1"/>
    <col min="501" max="501" width="7.6640625" style="2" customWidth="1"/>
    <col min="502" max="502" width="4.21875" style="2" customWidth="1"/>
    <col min="503" max="503" width="98" style="2" customWidth="1"/>
    <col min="504" max="504" width="16.109375" style="2" customWidth="1"/>
    <col min="505" max="505" width="1.88671875" style="2" customWidth="1"/>
    <col min="506" max="506" width="15.88671875" style="2" customWidth="1"/>
    <col min="507" max="507" width="1.88671875" style="2" customWidth="1"/>
    <col min="508" max="508" width="13.33203125" style="2" customWidth="1"/>
    <col min="509" max="509" width="1.88671875" style="2" customWidth="1"/>
    <col min="510" max="510" width="13.33203125" style="2" customWidth="1"/>
    <col min="511" max="511" width="2.33203125" style="2" customWidth="1"/>
    <col min="512" max="512" width="2.109375" style="2" customWidth="1"/>
    <col min="513" max="513" width="16.77734375" style="2" customWidth="1"/>
    <col min="514" max="514" width="13.6640625" style="2" customWidth="1"/>
    <col min="515" max="524" width="8.6640625" style="2" customWidth="1"/>
    <col min="525" max="525" width="20.77734375" style="2" customWidth="1"/>
    <col min="526" max="754" width="10.21875" style="2"/>
    <col min="755" max="756" width="0" style="2" hidden="1" customWidth="1"/>
    <col min="757" max="757" width="7.6640625" style="2" customWidth="1"/>
    <col min="758" max="758" width="4.21875" style="2" customWidth="1"/>
    <col min="759" max="759" width="98" style="2" customWidth="1"/>
    <col min="760" max="760" width="16.109375" style="2" customWidth="1"/>
    <col min="761" max="761" width="1.88671875" style="2" customWidth="1"/>
    <col min="762" max="762" width="15.88671875" style="2" customWidth="1"/>
    <col min="763" max="763" width="1.88671875" style="2" customWidth="1"/>
    <col min="764" max="764" width="13.33203125" style="2" customWidth="1"/>
    <col min="765" max="765" width="1.88671875" style="2" customWidth="1"/>
    <col min="766" max="766" width="13.33203125" style="2" customWidth="1"/>
    <col min="767" max="767" width="2.33203125" style="2" customWidth="1"/>
    <col min="768" max="768" width="2.109375" style="2" customWidth="1"/>
    <col min="769" max="769" width="16.77734375" style="2" customWidth="1"/>
    <col min="770" max="770" width="13.6640625" style="2" customWidth="1"/>
    <col min="771" max="780" width="8.6640625" style="2" customWidth="1"/>
    <col min="781" max="781" width="20.77734375" style="2" customWidth="1"/>
    <col min="782" max="1010" width="10.21875" style="2"/>
    <col min="1011" max="1012" width="0" style="2" hidden="1" customWidth="1"/>
    <col min="1013" max="1013" width="7.6640625" style="2" customWidth="1"/>
    <col min="1014" max="1014" width="4.21875" style="2" customWidth="1"/>
    <col min="1015" max="1015" width="98" style="2" customWidth="1"/>
    <col min="1016" max="1016" width="16.109375" style="2" customWidth="1"/>
    <col min="1017" max="1017" width="1.88671875" style="2" customWidth="1"/>
    <col min="1018" max="1018" width="15.88671875" style="2" customWidth="1"/>
    <col min="1019" max="1019" width="1.88671875" style="2" customWidth="1"/>
    <col min="1020" max="1020" width="13.33203125" style="2" customWidth="1"/>
    <col min="1021" max="1021" width="1.88671875" style="2" customWidth="1"/>
    <col min="1022" max="1022" width="13.33203125" style="2" customWidth="1"/>
    <col min="1023" max="1023" width="2.33203125" style="2" customWidth="1"/>
    <col min="1024" max="1024" width="2.109375" style="2" customWidth="1"/>
    <col min="1025" max="1025" width="16.77734375" style="2" customWidth="1"/>
    <col min="1026" max="1026" width="13.6640625" style="2" customWidth="1"/>
    <col min="1027" max="1036" width="8.6640625" style="2" customWidth="1"/>
    <col min="1037" max="1037" width="20.77734375" style="2" customWidth="1"/>
    <col min="1038" max="1266" width="10.21875" style="2"/>
    <col min="1267" max="1268" width="0" style="2" hidden="1" customWidth="1"/>
    <col min="1269" max="1269" width="7.6640625" style="2" customWidth="1"/>
    <col min="1270" max="1270" width="4.21875" style="2" customWidth="1"/>
    <col min="1271" max="1271" width="98" style="2" customWidth="1"/>
    <col min="1272" max="1272" width="16.109375" style="2" customWidth="1"/>
    <col min="1273" max="1273" width="1.88671875" style="2" customWidth="1"/>
    <col min="1274" max="1274" width="15.88671875" style="2" customWidth="1"/>
    <col min="1275" max="1275" width="1.88671875" style="2" customWidth="1"/>
    <col min="1276" max="1276" width="13.33203125" style="2" customWidth="1"/>
    <col min="1277" max="1277" width="1.88671875" style="2" customWidth="1"/>
    <col min="1278" max="1278" width="13.33203125" style="2" customWidth="1"/>
    <col min="1279" max="1279" width="2.33203125" style="2" customWidth="1"/>
    <col min="1280" max="1280" width="2.109375" style="2" customWidth="1"/>
    <col min="1281" max="1281" width="16.77734375" style="2" customWidth="1"/>
    <col min="1282" max="1282" width="13.6640625" style="2" customWidth="1"/>
    <col min="1283" max="1292" width="8.6640625" style="2" customWidth="1"/>
    <col min="1293" max="1293" width="20.77734375" style="2" customWidth="1"/>
    <col min="1294" max="1522" width="10.21875" style="2"/>
    <col min="1523" max="1524" width="0" style="2" hidden="1" customWidth="1"/>
    <col min="1525" max="1525" width="7.6640625" style="2" customWidth="1"/>
    <col min="1526" max="1526" width="4.21875" style="2" customWidth="1"/>
    <col min="1527" max="1527" width="98" style="2" customWidth="1"/>
    <col min="1528" max="1528" width="16.109375" style="2" customWidth="1"/>
    <col min="1529" max="1529" width="1.88671875" style="2" customWidth="1"/>
    <col min="1530" max="1530" width="15.88671875" style="2" customWidth="1"/>
    <col min="1531" max="1531" width="1.88671875" style="2" customWidth="1"/>
    <col min="1532" max="1532" width="13.33203125" style="2" customWidth="1"/>
    <col min="1533" max="1533" width="1.88671875" style="2" customWidth="1"/>
    <col min="1534" max="1534" width="13.33203125" style="2" customWidth="1"/>
    <col min="1535" max="1535" width="2.33203125" style="2" customWidth="1"/>
    <col min="1536" max="1536" width="2.109375" style="2" customWidth="1"/>
    <col min="1537" max="1537" width="16.77734375" style="2" customWidth="1"/>
    <col min="1538" max="1538" width="13.6640625" style="2" customWidth="1"/>
    <col min="1539" max="1548" width="8.6640625" style="2" customWidth="1"/>
    <col min="1549" max="1549" width="20.77734375" style="2" customWidth="1"/>
    <col min="1550" max="1778" width="10.21875" style="2"/>
    <col min="1779" max="1780" width="0" style="2" hidden="1" customWidth="1"/>
    <col min="1781" max="1781" width="7.6640625" style="2" customWidth="1"/>
    <col min="1782" max="1782" width="4.21875" style="2" customWidth="1"/>
    <col min="1783" max="1783" width="98" style="2" customWidth="1"/>
    <col min="1784" max="1784" width="16.109375" style="2" customWidth="1"/>
    <col min="1785" max="1785" width="1.88671875" style="2" customWidth="1"/>
    <col min="1786" max="1786" width="15.88671875" style="2" customWidth="1"/>
    <col min="1787" max="1787" width="1.88671875" style="2" customWidth="1"/>
    <col min="1788" max="1788" width="13.33203125" style="2" customWidth="1"/>
    <col min="1789" max="1789" width="1.88671875" style="2" customWidth="1"/>
    <col min="1790" max="1790" width="13.33203125" style="2" customWidth="1"/>
    <col min="1791" max="1791" width="2.33203125" style="2" customWidth="1"/>
    <col min="1792" max="1792" width="2.109375" style="2" customWidth="1"/>
    <col min="1793" max="1793" width="16.77734375" style="2" customWidth="1"/>
    <col min="1794" max="1794" width="13.6640625" style="2" customWidth="1"/>
    <col min="1795" max="1804" width="8.6640625" style="2" customWidth="1"/>
    <col min="1805" max="1805" width="20.77734375" style="2" customWidth="1"/>
    <col min="1806" max="2034" width="10.21875" style="2"/>
    <col min="2035" max="2036" width="0" style="2" hidden="1" customWidth="1"/>
    <col min="2037" max="2037" width="7.6640625" style="2" customWidth="1"/>
    <col min="2038" max="2038" width="4.21875" style="2" customWidth="1"/>
    <col min="2039" max="2039" width="98" style="2" customWidth="1"/>
    <col min="2040" max="2040" width="16.109375" style="2" customWidth="1"/>
    <col min="2041" max="2041" width="1.88671875" style="2" customWidth="1"/>
    <col min="2042" max="2042" width="15.88671875" style="2" customWidth="1"/>
    <col min="2043" max="2043" width="1.88671875" style="2" customWidth="1"/>
    <col min="2044" max="2044" width="13.33203125" style="2" customWidth="1"/>
    <col min="2045" max="2045" width="1.88671875" style="2" customWidth="1"/>
    <col min="2046" max="2046" width="13.33203125" style="2" customWidth="1"/>
    <col min="2047" max="2047" width="2.33203125" style="2" customWidth="1"/>
    <col min="2048" max="2048" width="2.109375" style="2" customWidth="1"/>
    <col min="2049" max="2049" width="16.77734375" style="2" customWidth="1"/>
    <col min="2050" max="2050" width="13.6640625" style="2" customWidth="1"/>
    <col min="2051" max="2060" width="8.6640625" style="2" customWidth="1"/>
    <col min="2061" max="2061" width="20.77734375" style="2" customWidth="1"/>
    <col min="2062" max="2290" width="10.21875" style="2"/>
    <col min="2291" max="2292" width="0" style="2" hidden="1" customWidth="1"/>
    <col min="2293" max="2293" width="7.6640625" style="2" customWidth="1"/>
    <col min="2294" max="2294" width="4.21875" style="2" customWidth="1"/>
    <col min="2295" max="2295" width="98" style="2" customWidth="1"/>
    <col min="2296" max="2296" width="16.109375" style="2" customWidth="1"/>
    <col min="2297" max="2297" width="1.88671875" style="2" customWidth="1"/>
    <col min="2298" max="2298" width="15.88671875" style="2" customWidth="1"/>
    <col min="2299" max="2299" width="1.88671875" style="2" customWidth="1"/>
    <col min="2300" max="2300" width="13.33203125" style="2" customWidth="1"/>
    <col min="2301" max="2301" width="1.88671875" style="2" customWidth="1"/>
    <col min="2302" max="2302" width="13.33203125" style="2" customWidth="1"/>
    <col min="2303" max="2303" width="2.33203125" style="2" customWidth="1"/>
    <col min="2304" max="2304" width="2.109375" style="2" customWidth="1"/>
    <col min="2305" max="2305" width="16.77734375" style="2" customWidth="1"/>
    <col min="2306" max="2306" width="13.6640625" style="2" customWidth="1"/>
    <col min="2307" max="2316" width="8.6640625" style="2" customWidth="1"/>
    <col min="2317" max="2317" width="20.77734375" style="2" customWidth="1"/>
    <col min="2318" max="2546" width="10.21875" style="2"/>
    <col min="2547" max="2548" width="0" style="2" hidden="1" customWidth="1"/>
    <col min="2549" max="2549" width="7.6640625" style="2" customWidth="1"/>
    <col min="2550" max="2550" width="4.21875" style="2" customWidth="1"/>
    <col min="2551" max="2551" width="98" style="2" customWidth="1"/>
    <col min="2552" max="2552" width="16.109375" style="2" customWidth="1"/>
    <col min="2553" max="2553" width="1.88671875" style="2" customWidth="1"/>
    <col min="2554" max="2554" width="15.88671875" style="2" customWidth="1"/>
    <col min="2555" max="2555" width="1.88671875" style="2" customWidth="1"/>
    <col min="2556" max="2556" width="13.33203125" style="2" customWidth="1"/>
    <col min="2557" max="2557" width="1.88671875" style="2" customWidth="1"/>
    <col min="2558" max="2558" width="13.33203125" style="2" customWidth="1"/>
    <col min="2559" max="2559" width="2.33203125" style="2" customWidth="1"/>
    <col min="2560" max="2560" width="2.109375" style="2" customWidth="1"/>
    <col min="2561" max="2561" width="16.77734375" style="2" customWidth="1"/>
    <col min="2562" max="2562" width="13.6640625" style="2" customWidth="1"/>
    <col min="2563" max="2572" width="8.6640625" style="2" customWidth="1"/>
    <col min="2573" max="2573" width="20.77734375" style="2" customWidth="1"/>
    <col min="2574" max="2802" width="10.21875" style="2"/>
    <col min="2803" max="2804" width="0" style="2" hidden="1" customWidth="1"/>
    <col min="2805" max="2805" width="7.6640625" style="2" customWidth="1"/>
    <col min="2806" max="2806" width="4.21875" style="2" customWidth="1"/>
    <col min="2807" max="2807" width="98" style="2" customWidth="1"/>
    <col min="2808" max="2808" width="16.109375" style="2" customWidth="1"/>
    <col min="2809" max="2809" width="1.88671875" style="2" customWidth="1"/>
    <col min="2810" max="2810" width="15.88671875" style="2" customWidth="1"/>
    <col min="2811" max="2811" width="1.88671875" style="2" customWidth="1"/>
    <col min="2812" max="2812" width="13.33203125" style="2" customWidth="1"/>
    <col min="2813" max="2813" width="1.88671875" style="2" customWidth="1"/>
    <col min="2814" max="2814" width="13.33203125" style="2" customWidth="1"/>
    <col min="2815" max="2815" width="2.33203125" style="2" customWidth="1"/>
    <col min="2816" max="2816" width="2.109375" style="2" customWidth="1"/>
    <col min="2817" max="2817" width="16.77734375" style="2" customWidth="1"/>
    <col min="2818" max="2818" width="13.6640625" style="2" customWidth="1"/>
    <col min="2819" max="2828" width="8.6640625" style="2" customWidth="1"/>
    <col min="2829" max="2829" width="20.77734375" style="2" customWidth="1"/>
    <col min="2830" max="3058" width="10.21875" style="2"/>
    <col min="3059" max="3060" width="0" style="2" hidden="1" customWidth="1"/>
    <col min="3061" max="3061" width="7.6640625" style="2" customWidth="1"/>
    <col min="3062" max="3062" width="4.21875" style="2" customWidth="1"/>
    <col min="3063" max="3063" width="98" style="2" customWidth="1"/>
    <col min="3064" max="3064" width="16.109375" style="2" customWidth="1"/>
    <col min="3065" max="3065" width="1.88671875" style="2" customWidth="1"/>
    <col min="3066" max="3066" width="15.88671875" style="2" customWidth="1"/>
    <col min="3067" max="3067" width="1.88671875" style="2" customWidth="1"/>
    <col min="3068" max="3068" width="13.33203125" style="2" customWidth="1"/>
    <col min="3069" max="3069" width="1.88671875" style="2" customWidth="1"/>
    <col min="3070" max="3070" width="13.33203125" style="2" customWidth="1"/>
    <col min="3071" max="3071" width="2.33203125" style="2" customWidth="1"/>
    <col min="3072" max="3072" width="2.109375" style="2" customWidth="1"/>
    <col min="3073" max="3073" width="16.77734375" style="2" customWidth="1"/>
    <col min="3074" max="3074" width="13.6640625" style="2" customWidth="1"/>
    <col min="3075" max="3084" width="8.6640625" style="2" customWidth="1"/>
    <col min="3085" max="3085" width="20.77734375" style="2" customWidth="1"/>
    <col min="3086" max="3314" width="10.21875" style="2"/>
    <col min="3315" max="3316" width="0" style="2" hidden="1" customWidth="1"/>
    <col min="3317" max="3317" width="7.6640625" style="2" customWidth="1"/>
    <col min="3318" max="3318" width="4.21875" style="2" customWidth="1"/>
    <col min="3319" max="3319" width="98" style="2" customWidth="1"/>
    <col min="3320" max="3320" width="16.109375" style="2" customWidth="1"/>
    <col min="3321" max="3321" width="1.88671875" style="2" customWidth="1"/>
    <col min="3322" max="3322" width="15.88671875" style="2" customWidth="1"/>
    <col min="3323" max="3323" width="1.88671875" style="2" customWidth="1"/>
    <col min="3324" max="3324" width="13.33203125" style="2" customWidth="1"/>
    <col min="3325" max="3325" width="1.88671875" style="2" customWidth="1"/>
    <col min="3326" max="3326" width="13.33203125" style="2" customWidth="1"/>
    <col min="3327" max="3327" width="2.33203125" style="2" customWidth="1"/>
    <col min="3328" max="3328" width="2.109375" style="2" customWidth="1"/>
    <col min="3329" max="3329" width="16.77734375" style="2" customWidth="1"/>
    <col min="3330" max="3330" width="13.6640625" style="2" customWidth="1"/>
    <col min="3331" max="3340" width="8.6640625" style="2" customWidth="1"/>
    <col min="3341" max="3341" width="20.77734375" style="2" customWidth="1"/>
    <col min="3342" max="3570" width="10.21875" style="2"/>
    <col min="3571" max="3572" width="0" style="2" hidden="1" customWidth="1"/>
    <col min="3573" max="3573" width="7.6640625" style="2" customWidth="1"/>
    <col min="3574" max="3574" width="4.21875" style="2" customWidth="1"/>
    <col min="3575" max="3575" width="98" style="2" customWidth="1"/>
    <col min="3576" max="3576" width="16.109375" style="2" customWidth="1"/>
    <col min="3577" max="3577" width="1.88671875" style="2" customWidth="1"/>
    <col min="3578" max="3578" width="15.88671875" style="2" customWidth="1"/>
    <col min="3579" max="3579" width="1.88671875" style="2" customWidth="1"/>
    <col min="3580" max="3580" width="13.33203125" style="2" customWidth="1"/>
    <col min="3581" max="3581" width="1.88671875" style="2" customWidth="1"/>
    <col min="3582" max="3582" width="13.33203125" style="2" customWidth="1"/>
    <col min="3583" max="3583" width="2.33203125" style="2" customWidth="1"/>
    <col min="3584" max="3584" width="2.109375" style="2" customWidth="1"/>
    <col min="3585" max="3585" width="16.77734375" style="2" customWidth="1"/>
    <col min="3586" max="3586" width="13.6640625" style="2" customWidth="1"/>
    <col min="3587" max="3596" width="8.6640625" style="2" customWidth="1"/>
    <col min="3597" max="3597" width="20.77734375" style="2" customWidth="1"/>
    <col min="3598" max="3826" width="10.21875" style="2"/>
    <col min="3827" max="3828" width="0" style="2" hidden="1" customWidth="1"/>
    <col min="3829" max="3829" width="7.6640625" style="2" customWidth="1"/>
    <col min="3830" max="3830" width="4.21875" style="2" customWidth="1"/>
    <col min="3831" max="3831" width="98" style="2" customWidth="1"/>
    <col min="3832" max="3832" width="16.109375" style="2" customWidth="1"/>
    <col min="3833" max="3833" width="1.88671875" style="2" customWidth="1"/>
    <col min="3834" max="3834" width="15.88671875" style="2" customWidth="1"/>
    <col min="3835" max="3835" width="1.88671875" style="2" customWidth="1"/>
    <col min="3836" max="3836" width="13.33203125" style="2" customWidth="1"/>
    <col min="3837" max="3837" width="1.88671875" style="2" customWidth="1"/>
    <col min="3838" max="3838" width="13.33203125" style="2" customWidth="1"/>
    <col min="3839" max="3839" width="2.33203125" style="2" customWidth="1"/>
    <col min="3840" max="3840" width="2.109375" style="2" customWidth="1"/>
    <col min="3841" max="3841" width="16.77734375" style="2" customWidth="1"/>
    <col min="3842" max="3842" width="13.6640625" style="2" customWidth="1"/>
    <col min="3843" max="3852" width="8.6640625" style="2" customWidth="1"/>
    <col min="3853" max="3853" width="20.77734375" style="2" customWidth="1"/>
    <col min="3854" max="4082" width="10.21875" style="2"/>
    <col min="4083" max="4084" width="0" style="2" hidden="1" customWidth="1"/>
    <col min="4085" max="4085" width="7.6640625" style="2" customWidth="1"/>
    <col min="4086" max="4086" width="4.21875" style="2" customWidth="1"/>
    <col min="4087" max="4087" width="98" style="2" customWidth="1"/>
    <col min="4088" max="4088" width="16.109375" style="2" customWidth="1"/>
    <col min="4089" max="4089" width="1.88671875" style="2" customWidth="1"/>
    <col min="4090" max="4090" width="15.88671875" style="2" customWidth="1"/>
    <col min="4091" max="4091" width="1.88671875" style="2" customWidth="1"/>
    <col min="4092" max="4092" width="13.33203125" style="2" customWidth="1"/>
    <col min="4093" max="4093" width="1.88671875" style="2" customWidth="1"/>
    <col min="4094" max="4094" width="13.33203125" style="2" customWidth="1"/>
    <col min="4095" max="4095" width="2.33203125" style="2" customWidth="1"/>
    <col min="4096" max="4096" width="2.109375" style="2" customWidth="1"/>
    <col min="4097" max="4097" width="16.77734375" style="2" customWidth="1"/>
    <col min="4098" max="4098" width="13.6640625" style="2" customWidth="1"/>
    <col min="4099" max="4108" width="8.6640625" style="2" customWidth="1"/>
    <col min="4109" max="4109" width="20.77734375" style="2" customWidth="1"/>
    <col min="4110" max="4338" width="10.21875" style="2"/>
    <col min="4339" max="4340" width="0" style="2" hidden="1" customWidth="1"/>
    <col min="4341" max="4341" width="7.6640625" style="2" customWidth="1"/>
    <col min="4342" max="4342" width="4.21875" style="2" customWidth="1"/>
    <col min="4343" max="4343" width="98" style="2" customWidth="1"/>
    <col min="4344" max="4344" width="16.109375" style="2" customWidth="1"/>
    <col min="4345" max="4345" width="1.88671875" style="2" customWidth="1"/>
    <col min="4346" max="4346" width="15.88671875" style="2" customWidth="1"/>
    <col min="4347" max="4347" width="1.88671875" style="2" customWidth="1"/>
    <col min="4348" max="4348" width="13.33203125" style="2" customWidth="1"/>
    <col min="4349" max="4349" width="1.88671875" style="2" customWidth="1"/>
    <col min="4350" max="4350" width="13.33203125" style="2" customWidth="1"/>
    <col min="4351" max="4351" width="2.33203125" style="2" customWidth="1"/>
    <col min="4352" max="4352" width="2.109375" style="2" customWidth="1"/>
    <col min="4353" max="4353" width="16.77734375" style="2" customWidth="1"/>
    <col min="4354" max="4354" width="13.6640625" style="2" customWidth="1"/>
    <col min="4355" max="4364" width="8.6640625" style="2" customWidth="1"/>
    <col min="4365" max="4365" width="20.77734375" style="2" customWidth="1"/>
    <col min="4366" max="4594" width="10.21875" style="2"/>
    <col min="4595" max="4596" width="0" style="2" hidden="1" customWidth="1"/>
    <col min="4597" max="4597" width="7.6640625" style="2" customWidth="1"/>
    <col min="4598" max="4598" width="4.21875" style="2" customWidth="1"/>
    <col min="4599" max="4599" width="98" style="2" customWidth="1"/>
    <col min="4600" max="4600" width="16.109375" style="2" customWidth="1"/>
    <col min="4601" max="4601" width="1.88671875" style="2" customWidth="1"/>
    <col min="4602" max="4602" width="15.88671875" style="2" customWidth="1"/>
    <col min="4603" max="4603" width="1.88671875" style="2" customWidth="1"/>
    <col min="4604" max="4604" width="13.33203125" style="2" customWidth="1"/>
    <col min="4605" max="4605" width="1.88671875" style="2" customWidth="1"/>
    <col min="4606" max="4606" width="13.33203125" style="2" customWidth="1"/>
    <col min="4607" max="4607" width="2.33203125" style="2" customWidth="1"/>
    <col min="4608" max="4608" width="2.109375" style="2" customWidth="1"/>
    <col min="4609" max="4609" width="16.77734375" style="2" customWidth="1"/>
    <col min="4610" max="4610" width="13.6640625" style="2" customWidth="1"/>
    <col min="4611" max="4620" width="8.6640625" style="2" customWidth="1"/>
    <col min="4621" max="4621" width="20.77734375" style="2" customWidth="1"/>
    <col min="4622" max="4850" width="10.21875" style="2"/>
    <col min="4851" max="4852" width="0" style="2" hidden="1" customWidth="1"/>
    <col min="4853" max="4853" width="7.6640625" style="2" customWidth="1"/>
    <col min="4854" max="4854" width="4.21875" style="2" customWidth="1"/>
    <col min="4855" max="4855" width="98" style="2" customWidth="1"/>
    <col min="4856" max="4856" width="16.109375" style="2" customWidth="1"/>
    <col min="4857" max="4857" width="1.88671875" style="2" customWidth="1"/>
    <col min="4858" max="4858" width="15.88671875" style="2" customWidth="1"/>
    <col min="4859" max="4859" width="1.88671875" style="2" customWidth="1"/>
    <col min="4860" max="4860" width="13.33203125" style="2" customWidth="1"/>
    <col min="4861" max="4861" width="1.88671875" style="2" customWidth="1"/>
    <col min="4862" max="4862" width="13.33203125" style="2" customWidth="1"/>
    <col min="4863" max="4863" width="2.33203125" style="2" customWidth="1"/>
    <col min="4864" max="4864" width="2.109375" style="2" customWidth="1"/>
    <col min="4865" max="4865" width="16.77734375" style="2" customWidth="1"/>
    <col min="4866" max="4866" width="13.6640625" style="2" customWidth="1"/>
    <col min="4867" max="4876" width="8.6640625" style="2" customWidth="1"/>
    <col min="4877" max="4877" width="20.77734375" style="2" customWidth="1"/>
    <col min="4878" max="5106" width="10.21875" style="2"/>
    <col min="5107" max="5108" width="0" style="2" hidden="1" customWidth="1"/>
    <col min="5109" max="5109" width="7.6640625" style="2" customWidth="1"/>
    <col min="5110" max="5110" width="4.21875" style="2" customWidth="1"/>
    <col min="5111" max="5111" width="98" style="2" customWidth="1"/>
    <col min="5112" max="5112" width="16.109375" style="2" customWidth="1"/>
    <col min="5113" max="5113" width="1.88671875" style="2" customWidth="1"/>
    <col min="5114" max="5114" width="15.88671875" style="2" customWidth="1"/>
    <col min="5115" max="5115" width="1.88671875" style="2" customWidth="1"/>
    <col min="5116" max="5116" width="13.33203125" style="2" customWidth="1"/>
    <col min="5117" max="5117" width="1.88671875" style="2" customWidth="1"/>
    <col min="5118" max="5118" width="13.33203125" style="2" customWidth="1"/>
    <col min="5119" max="5119" width="2.33203125" style="2" customWidth="1"/>
    <col min="5120" max="5120" width="2.109375" style="2" customWidth="1"/>
    <col min="5121" max="5121" width="16.77734375" style="2" customWidth="1"/>
    <col min="5122" max="5122" width="13.6640625" style="2" customWidth="1"/>
    <col min="5123" max="5132" width="8.6640625" style="2" customWidth="1"/>
    <col min="5133" max="5133" width="20.77734375" style="2" customWidth="1"/>
    <col min="5134" max="5362" width="10.21875" style="2"/>
    <col min="5363" max="5364" width="0" style="2" hidden="1" customWidth="1"/>
    <col min="5365" max="5365" width="7.6640625" style="2" customWidth="1"/>
    <col min="5366" max="5366" width="4.21875" style="2" customWidth="1"/>
    <col min="5367" max="5367" width="98" style="2" customWidth="1"/>
    <col min="5368" max="5368" width="16.109375" style="2" customWidth="1"/>
    <col min="5369" max="5369" width="1.88671875" style="2" customWidth="1"/>
    <col min="5370" max="5370" width="15.88671875" style="2" customWidth="1"/>
    <col min="5371" max="5371" width="1.88671875" style="2" customWidth="1"/>
    <col min="5372" max="5372" width="13.33203125" style="2" customWidth="1"/>
    <col min="5373" max="5373" width="1.88671875" style="2" customWidth="1"/>
    <col min="5374" max="5374" width="13.33203125" style="2" customWidth="1"/>
    <col min="5375" max="5375" width="2.33203125" style="2" customWidth="1"/>
    <col min="5376" max="5376" width="2.109375" style="2" customWidth="1"/>
    <col min="5377" max="5377" width="16.77734375" style="2" customWidth="1"/>
    <col min="5378" max="5378" width="13.6640625" style="2" customWidth="1"/>
    <col min="5379" max="5388" width="8.6640625" style="2" customWidth="1"/>
    <col min="5389" max="5389" width="20.77734375" style="2" customWidth="1"/>
    <col min="5390" max="5618" width="10.21875" style="2"/>
    <col min="5619" max="5620" width="0" style="2" hidden="1" customWidth="1"/>
    <col min="5621" max="5621" width="7.6640625" style="2" customWidth="1"/>
    <col min="5622" max="5622" width="4.21875" style="2" customWidth="1"/>
    <col min="5623" max="5623" width="98" style="2" customWidth="1"/>
    <col min="5624" max="5624" width="16.109375" style="2" customWidth="1"/>
    <col min="5625" max="5625" width="1.88671875" style="2" customWidth="1"/>
    <col min="5626" max="5626" width="15.88671875" style="2" customWidth="1"/>
    <col min="5627" max="5627" width="1.88671875" style="2" customWidth="1"/>
    <col min="5628" max="5628" width="13.33203125" style="2" customWidth="1"/>
    <col min="5629" max="5629" width="1.88671875" style="2" customWidth="1"/>
    <col min="5630" max="5630" width="13.33203125" style="2" customWidth="1"/>
    <col min="5631" max="5631" width="2.33203125" style="2" customWidth="1"/>
    <col min="5632" max="5632" width="2.109375" style="2" customWidth="1"/>
    <col min="5633" max="5633" width="16.77734375" style="2" customWidth="1"/>
    <col min="5634" max="5634" width="13.6640625" style="2" customWidth="1"/>
    <col min="5635" max="5644" width="8.6640625" style="2" customWidth="1"/>
    <col min="5645" max="5645" width="20.77734375" style="2" customWidth="1"/>
    <col min="5646" max="5874" width="10.21875" style="2"/>
    <col min="5875" max="5876" width="0" style="2" hidden="1" customWidth="1"/>
    <col min="5877" max="5877" width="7.6640625" style="2" customWidth="1"/>
    <col min="5878" max="5878" width="4.21875" style="2" customWidth="1"/>
    <col min="5879" max="5879" width="98" style="2" customWidth="1"/>
    <col min="5880" max="5880" width="16.109375" style="2" customWidth="1"/>
    <col min="5881" max="5881" width="1.88671875" style="2" customWidth="1"/>
    <col min="5882" max="5882" width="15.88671875" style="2" customWidth="1"/>
    <col min="5883" max="5883" width="1.88671875" style="2" customWidth="1"/>
    <col min="5884" max="5884" width="13.33203125" style="2" customWidth="1"/>
    <col min="5885" max="5885" width="1.88671875" style="2" customWidth="1"/>
    <col min="5886" max="5886" width="13.33203125" style="2" customWidth="1"/>
    <col min="5887" max="5887" width="2.33203125" style="2" customWidth="1"/>
    <col min="5888" max="5888" width="2.109375" style="2" customWidth="1"/>
    <col min="5889" max="5889" width="16.77734375" style="2" customWidth="1"/>
    <col min="5890" max="5890" width="13.6640625" style="2" customWidth="1"/>
    <col min="5891" max="5900" width="8.6640625" style="2" customWidth="1"/>
    <col min="5901" max="5901" width="20.77734375" style="2" customWidth="1"/>
    <col min="5902" max="6130" width="10.21875" style="2"/>
    <col min="6131" max="6132" width="0" style="2" hidden="1" customWidth="1"/>
    <col min="6133" max="6133" width="7.6640625" style="2" customWidth="1"/>
    <col min="6134" max="6134" width="4.21875" style="2" customWidth="1"/>
    <col min="6135" max="6135" width="98" style="2" customWidth="1"/>
    <col min="6136" max="6136" width="16.109375" style="2" customWidth="1"/>
    <col min="6137" max="6137" width="1.88671875" style="2" customWidth="1"/>
    <col min="6138" max="6138" width="15.88671875" style="2" customWidth="1"/>
    <col min="6139" max="6139" width="1.88671875" style="2" customWidth="1"/>
    <col min="6140" max="6140" width="13.33203125" style="2" customWidth="1"/>
    <col min="6141" max="6141" width="1.88671875" style="2" customWidth="1"/>
    <col min="6142" max="6142" width="13.33203125" style="2" customWidth="1"/>
    <col min="6143" max="6143" width="2.33203125" style="2" customWidth="1"/>
    <col min="6144" max="6144" width="2.109375" style="2" customWidth="1"/>
    <col min="6145" max="6145" width="16.77734375" style="2" customWidth="1"/>
    <col min="6146" max="6146" width="13.6640625" style="2" customWidth="1"/>
    <col min="6147" max="6156" width="8.6640625" style="2" customWidth="1"/>
    <col min="6157" max="6157" width="20.77734375" style="2" customWidth="1"/>
    <col min="6158" max="6386" width="10.21875" style="2"/>
    <col min="6387" max="6388" width="0" style="2" hidden="1" customWidth="1"/>
    <col min="6389" max="6389" width="7.6640625" style="2" customWidth="1"/>
    <col min="6390" max="6390" width="4.21875" style="2" customWidth="1"/>
    <col min="6391" max="6391" width="98" style="2" customWidth="1"/>
    <col min="6392" max="6392" width="16.109375" style="2" customWidth="1"/>
    <col min="6393" max="6393" width="1.88671875" style="2" customWidth="1"/>
    <col min="6394" max="6394" width="15.88671875" style="2" customWidth="1"/>
    <col min="6395" max="6395" width="1.88671875" style="2" customWidth="1"/>
    <col min="6396" max="6396" width="13.33203125" style="2" customWidth="1"/>
    <col min="6397" max="6397" width="1.88671875" style="2" customWidth="1"/>
    <col min="6398" max="6398" width="13.33203125" style="2" customWidth="1"/>
    <col min="6399" max="6399" width="2.33203125" style="2" customWidth="1"/>
    <col min="6400" max="6400" width="2.109375" style="2" customWidth="1"/>
    <col min="6401" max="6401" width="16.77734375" style="2" customWidth="1"/>
    <col min="6402" max="6402" width="13.6640625" style="2" customWidth="1"/>
    <col min="6403" max="6412" width="8.6640625" style="2" customWidth="1"/>
    <col min="6413" max="6413" width="20.77734375" style="2" customWidth="1"/>
    <col min="6414" max="6642" width="10.21875" style="2"/>
    <col min="6643" max="6644" width="0" style="2" hidden="1" customWidth="1"/>
    <col min="6645" max="6645" width="7.6640625" style="2" customWidth="1"/>
    <col min="6646" max="6646" width="4.21875" style="2" customWidth="1"/>
    <col min="6647" max="6647" width="98" style="2" customWidth="1"/>
    <col min="6648" max="6648" width="16.109375" style="2" customWidth="1"/>
    <col min="6649" max="6649" width="1.88671875" style="2" customWidth="1"/>
    <col min="6650" max="6650" width="15.88671875" style="2" customWidth="1"/>
    <col min="6651" max="6651" width="1.88671875" style="2" customWidth="1"/>
    <col min="6652" max="6652" width="13.33203125" style="2" customWidth="1"/>
    <col min="6653" max="6653" width="1.88671875" style="2" customWidth="1"/>
    <col min="6654" max="6654" width="13.33203125" style="2" customWidth="1"/>
    <col min="6655" max="6655" width="2.33203125" style="2" customWidth="1"/>
    <col min="6656" max="6656" width="2.109375" style="2" customWidth="1"/>
    <col min="6657" max="6657" width="16.77734375" style="2" customWidth="1"/>
    <col min="6658" max="6658" width="13.6640625" style="2" customWidth="1"/>
    <col min="6659" max="6668" width="8.6640625" style="2" customWidth="1"/>
    <col min="6669" max="6669" width="20.77734375" style="2" customWidth="1"/>
    <col min="6670" max="6898" width="10.21875" style="2"/>
    <col min="6899" max="6900" width="0" style="2" hidden="1" customWidth="1"/>
    <col min="6901" max="6901" width="7.6640625" style="2" customWidth="1"/>
    <col min="6902" max="6902" width="4.21875" style="2" customWidth="1"/>
    <col min="6903" max="6903" width="98" style="2" customWidth="1"/>
    <col min="6904" max="6904" width="16.109375" style="2" customWidth="1"/>
    <col min="6905" max="6905" width="1.88671875" style="2" customWidth="1"/>
    <col min="6906" max="6906" width="15.88671875" style="2" customWidth="1"/>
    <col min="6907" max="6907" width="1.88671875" style="2" customWidth="1"/>
    <col min="6908" max="6908" width="13.33203125" style="2" customWidth="1"/>
    <col min="6909" max="6909" width="1.88671875" style="2" customWidth="1"/>
    <col min="6910" max="6910" width="13.33203125" style="2" customWidth="1"/>
    <col min="6911" max="6911" width="2.33203125" style="2" customWidth="1"/>
    <col min="6912" max="6912" width="2.109375" style="2" customWidth="1"/>
    <col min="6913" max="6913" width="16.77734375" style="2" customWidth="1"/>
    <col min="6914" max="6914" width="13.6640625" style="2" customWidth="1"/>
    <col min="6915" max="6924" width="8.6640625" style="2" customWidth="1"/>
    <col min="6925" max="6925" width="20.77734375" style="2" customWidth="1"/>
    <col min="6926" max="7154" width="10.21875" style="2"/>
    <col min="7155" max="7156" width="0" style="2" hidden="1" customWidth="1"/>
    <col min="7157" max="7157" width="7.6640625" style="2" customWidth="1"/>
    <col min="7158" max="7158" width="4.21875" style="2" customWidth="1"/>
    <col min="7159" max="7159" width="98" style="2" customWidth="1"/>
    <col min="7160" max="7160" width="16.109375" style="2" customWidth="1"/>
    <col min="7161" max="7161" width="1.88671875" style="2" customWidth="1"/>
    <col min="7162" max="7162" width="15.88671875" style="2" customWidth="1"/>
    <col min="7163" max="7163" width="1.88671875" style="2" customWidth="1"/>
    <col min="7164" max="7164" width="13.33203125" style="2" customWidth="1"/>
    <col min="7165" max="7165" width="1.88671875" style="2" customWidth="1"/>
    <col min="7166" max="7166" width="13.33203125" style="2" customWidth="1"/>
    <col min="7167" max="7167" width="2.33203125" style="2" customWidth="1"/>
    <col min="7168" max="7168" width="2.109375" style="2" customWidth="1"/>
    <col min="7169" max="7169" width="16.77734375" style="2" customWidth="1"/>
    <col min="7170" max="7170" width="13.6640625" style="2" customWidth="1"/>
    <col min="7171" max="7180" width="8.6640625" style="2" customWidth="1"/>
    <col min="7181" max="7181" width="20.77734375" style="2" customWidth="1"/>
    <col min="7182" max="7410" width="10.21875" style="2"/>
    <col min="7411" max="7412" width="0" style="2" hidden="1" customWidth="1"/>
    <col min="7413" max="7413" width="7.6640625" style="2" customWidth="1"/>
    <col min="7414" max="7414" width="4.21875" style="2" customWidth="1"/>
    <col min="7415" max="7415" width="98" style="2" customWidth="1"/>
    <col min="7416" max="7416" width="16.109375" style="2" customWidth="1"/>
    <col min="7417" max="7417" width="1.88671875" style="2" customWidth="1"/>
    <col min="7418" max="7418" width="15.88671875" style="2" customWidth="1"/>
    <col min="7419" max="7419" width="1.88671875" style="2" customWidth="1"/>
    <col min="7420" max="7420" width="13.33203125" style="2" customWidth="1"/>
    <col min="7421" max="7421" width="1.88671875" style="2" customWidth="1"/>
    <col min="7422" max="7422" width="13.33203125" style="2" customWidth="1"/>
    <col min="7423" max="7423" width="2.33203125" style="2" customWidth="1"/>
    <col min="7424" max="7424" width="2.109375" style="2" customWidth="1"/>
    <col min="7425" max="7425" width="16.77734375" style="2" customWidth="1"/>
    <col min="7426" max="7426" width="13.6640625" style="2" customWidth="1"/>
    <col min="7427" max="7436" width="8.6640625" style="2" customWidth="1"/>
    <col min="7437" max="7437" width="20.77734375" style="2" customWidth="1"/>
    <col min="7438" max="7666" width="10.21875" style="2"/>
    <col min="7667" max="7668" width="0" style="2" hidden="1" customWidth="1"/>
    <col min="7669" max="7669" width="7.6640625" style="2" customWidth="1"/>
    <col min="7670" max="7670" width="4.21875" style="2" customWidth="1"/>
    <col min="7671" max="7671" width="98" style="2" customWidth="1"/>
    <col min="7672" max="7672" width="16.109375" style="2" customWidth="1"/>
    <col min="7673" max="7673" width="1.88671875" style="2" customWidth="1"/>
    <col min="7674" max="7674" width="15.88671875" style="2" customWidth="1"/>
    <col min="7675" max="7675" width="1.88671875" style="2" customWidth="1"/>
    <col min="7676" max="7676" width="13.33203125" style="2" customWidth="1"/>
    <col min="7677" max="7677" width="1.88671875" style="2" customWidth="1"/>
    <col min="7678" max="7678" width="13.33203125" style="2" customWidth="1"/>
    <col min="7679" max="7679" width="2.33203125" style="2" customWidth="1"/>
    <col min="7680" max="7680" width="2.109375" style="2" customWidth="1"/>
    <col min="7681" max="7681" width="16.77734375" style="2" customWidth="1"/>
    <col min="7682" max="7682" width="13.6640625" style="2" customWidth="1"/>
    <col min="7683" max="7692" width="8.6640625" style="2" customWidth="1"/>
    <col min="7693" max="7693" width="20.77734375" style="2" customWidth="1"/>
    <col min="7694" max="7922" width="10.21875" style="2"/>
    <col min="7923" max="7924" width="0" style="2" hidden="1" customWidth="1"/>
    <col min="7925" max="7925" width="7.6640625" style="2" customWidth="1"/>
    <col min="7926" max="7926" width="4.21875" style="2" customWidth="1"/>
    <col min="7927" max="7927" width="98" style="2" customWidth="1"/>
    <col min="7928" max="7928" width="16.109375" style="2" customWidth="1"/>
    <col min="7929" max="7929" width="1.88671875" style="2" customWidth="1"/>
    <col min="7930" max="7930" width="15.88671875" style="2" customWidth="1"/>
    <col min="7931" max="7931" width="1.88671875" style="2" customWidth="1"/>
    <col min="7932" max="7932" width="13.33203125" style="2" customWidth="1"/>
    <col min="7933" max="7933" width="1.88671875" style="2" customWidth="1"/>
    <col min="7934" max="7934" width="13.33203125" style="2" customWidth="1"/>
    <col min="7935" max="7935" width="2.33203125" style="2" customWidth="1"/>
    <col min="7936" max="7936" width="2.109375" style="2" customWidth="1"/>
    <col min="7937" max="7937" width="16.77734375" style="2" customWidth="1"/>
    <col min="7938" max="7938" width="13.6640625" style="2" customWidth="1"/>
    <col min="7939" max="7948" width="8.6640625" style="2" customWidth="1"/>
    <col min="7949" max="7949" width="20.77734375" style="2" customWidth="1"/>
    <col min="7950" max="8178" width="10.21875" style="2"/>
    <col min="8179" max="8180" width="0" style="2" hidden="1" customWidth="1"/>
    <col min="8181" max="8181" width="7.6640625" style="2" customWidth="1"/>
    <col min="8182" max="8182" width="4.21875" style="2" customWidth="1"/>
    <col min="8183" max="8183" width="98" style="2" customWidth="1"/>
    <col min="8184" max="8184" width="16.109375" style="2" customWidth="1"/>
    <col min="8185" max="8185" width="1.88671875" style="2" customWidth="1"/>
    <col min="8186" max="8186" width="15.88671875" style="2" customWidth="1"/>
    <col min="8187" max="8187" width="1.88671875" style="2" customWidth="1"/>
    <col min="8188" max="8188" width="13.33203125" style="2" customWidth="1"/>
    <col min="8189" max="8189" width="1.88671875" style="2" customWidth="1"/>
    <col min="8190" max="8190" width="13.33203125" style="2" customWidth="1"/>
    <col min="8191" max="8191" width="2.33203125" style="2" customWidth="1"/>
    <col min="8192" max="8192" width="2.109375" style="2" customWidth="1"/>
    <col min="8193" max="8193" width="16.77734375" style="2" customWidth="1"/>
    <col min="8194" max="8194" width="13.6640625" style="2" customWidth="1"/>
    <col min="8195" max="8204" width="8.6640625" style="2" customWidth="1"/>
    <col min="8205" max="8205" width="20.77734375" style="2" customWidth="1"/>
    <col min="8206" max="8434" width="10.21875" style="2"/>
    <col min="8435" max="8436" width="0" style="2" hidden="1" customWidth="1"/>
    <col min="8437" max="8437" width="7.6640625" style="2" customWidth="1"/>
    <col min="8438" max="8438" width="4.21875" style="2" customWidth="1"/>
    <col min="8439" max="8439" width="98" style="2" customWidth="1"/>
    <col min="8440" max="8440" width="16.109375" style="2" customWidth="1"/>
    <col min="8441" max="8441" width="1.88671875" style="2" customWidth="1"/>
    <col min="8442" max="8442" width="15.88671875" style="2" customWidth="1"/>
    <col min="8443" max="8443" width="1.88671875" style="2" customWidth="1"/>
    <col min="8444" max="8444" width="13.33203125" style="2" customWidth="1"/>
    <col min="8445" max="8445" width="1.88671875" style="2" customWidth="1"/>
    <col min="8446" max="8446" width="13.33203125" style="2" customWidth="1"/>
    <col min="8447" max="8447" width="2.33203125" style="2" customWidth="1"/>
    <col min="8448" max="8448" width="2.109375" style="2" customWidth="1"/>
    <col min="8449" max="8449" width="16.77734375" style="2" customWidth="1"/>
    <col min="8450" max="8450" width="13.6640625" style="2" customWidth="1"/>
    <col min="8451" max="8460" width="8.6640625" style="2" customWidth="1"/>
    <col min="8461" max="8461" width="20.77734375" style="2" customWidth="1"/>
    <col min="8462" max="8690" width="10.21875" style="2"/>
    <col min="8691" max="8692" width="0" style="2" hidden="1" customWidth="1"/>
    <col min="8693" max="8693" width="7.6640625" style="2" customWidth="1"/>
    <col min="8694" max="8694" width="4.21875" style="2" customWidth="1"/>
    <col min="8695" max="8695" width="98" style="2" customWidth="1"/>
    <col min="8696" max="8696" width="16.109375" style="2" customWidth="1"/>
    <col min="8697" max="8697" width="1.88671875" style="2" customWidth="1"/>
    <col min="8698" max="8698" width="15.88671875" style="2" customWidth="1"/>
    <col min="8699" max="8699" width="1.88671875" style="2" customWidth="1"/>
    <col min="8700" max="8700" width="13.33203125" style="2" customWidth="1"/>
    <col min="8701" max="8701" width="1.88671875" style="2" customWidth="1"/>
    <col min="8702" max="8702" width="13.33203125" style="2" customWidth="1"/>
    <col min="8703" max="8703" width="2.33203125" style="2" customWidth="1"/>
    <col min="8704" max="8704" width="2.109375" style="2" customWidth="1"/>
    <col min="8705" max="8705" width="16.77734375" style="2" customWidth="1"/>
    <col min="8706" max="8706" width="13.6640625" style="2" customWidth="1"/>
    <col min="8707" max="8716" width="8.6640625" style="2" customWidth="1"/>
    <col min="8717" max="8717" width="20.77734375" style="2" customWidth="1"/>
    <col min="8718" max="8946" width="10.21875" style="2"/>
    <col min="8947" max="8948" width="0" style="2" hidden="1" customWidth="1"/>
    <col min="8949" max="8949" width="7.6640625" style="2" customWidth="1"/>
    <col min="8950" max="8950" width="4.21875" style="2" customWidth="1"/>
    <col min="8951" max="8951" width="98" style="2" customWidth="1"/>
    <col min="8952" max="8952" width="16.109375" style="2" customWidth="1"/>
    <col min="8953" max="8953" width="1.88671875" style="2" customWidth="1"/>
    <col min="8954" max="8954" width="15.88671875" style="2" customWidth="1"/>
    <col min="8955" max="8955" width="1.88671875" style="2" customWidth="1"/>
    <col min="8956" max="8956" width="13.33203125" style="2" customWidth="1"/>
    <col min="8957" max="8957" width="1.88671875" style="2" customWidth="1"/>
    <col min="8958" max="8958" width="13.33203125" style="2" customWidth="1"/>
    <col min="8959" max="8959" width="2.33203125" style="2" customWidth="1"/>
    <col min="8960" max="8960" width="2.109375" style="2" customWidth="1"/>
    <col min="8961" max="8961" width="16.77734375" style="2" customWidth="1"/>
    <col min="8962" max="8962" width="13.6640625" style="2" customWidth="1"/>
    <col min="8963" max="8972" width="8.6640625" style="2" customWidth="1"/>
    <col min="8973" max="8973" width="20.77734375" style="2" customWidth="1"/>
    <col min="8974" max="9202" width="10.21875" style="2"/>
    <col min="9203" max="9204" width="0" style="2" hidden="1" customWidth="1"/>
    <col min="9205" max="9205" width="7.6640625" style="2" customWidth="1"/>
    <col min="9206" max="9206" width="4.21875" style="2" customWidth="1"/>
    <col min="9207" max="9207" width="98" style="2" customWidth="1"/>
    <col min="9208" max="9208" width="16.109375" style="2" customWidth="1"/>
    <col min="9209" max="9209" width="1.88671875" style="2" customWidth="1"/>
    <col min="9210" max="9210" width="15.88671875" style="2" customWidth="1"/>
    <col min="9211" max="9211" width="1.88671875" style="2" customWidth="1"/>
    <col min="9212" max="9212" width="13.33203125" style="2" customWidth="1"/>
    <col min="9213" max="9213" width="1.88671875" style="2" customWidth="1"/>
    <col min="9214" max="9214" width="13.33203125" style="2" customWidth="1"/>
    <col min="9215" max="9215" width="2.33203125" style="2" customWidth="1"/>
    <col min="9216" max="9216" width="2.109375" style="2" customWidth="1"/>
    <col min="9217" max="9217" width="16.77734375" style="2" customWidth="1"/>
    <col min="9218" max="9218" width="13.6640625" style="2" customWidth="1"/>
    <col min="9219" max="9228" width="8.6640625" style="2" customWidth="1"/>
    <col min="9229" max="9229" width="20.77734375" style="2" customWidth="1"/>
    <col min="9230" max="9458" width="10.21875" style="2"/>
    <col min="9459" max="9460" width="0" style="2" hidden="1" customWidth="1"/>
    <col min="9461" max="9461" width="7.6640625" style="2" customWidth="1"/>
    <col min="9462" max="9462" width="4.21875" style="2" customWidth="1"/>
    <col min="9463" max="9463" width="98" style="2" customWidth="1"/>
    <col min="9464" max="9464" width="16.109375" style="2" customWidth="1"/>
    <col min="9465" max="9465" width="1.88671875" style="2" customWidth="1"/>
    <col min="9466" max="9466" width="15.88671875" style="2" customWidth="1"/>
    <col min="9467" max="9467" width="1.88671875" style="2" customWidth="1"/>
    <col min="9468" max="9468" width="13.33203125" style="2" customWidth="1"/>
    <col min="9469" max="9469" width="1.88671875" style="2" customWidth="1"/>
    <col min="9470" max="9470" width="13.33203125" style="2" customWidth="1"/>
    <col min="9471" max="9471" width="2.33203125" style="2" customWidth="1"/>
    <col min="9472" max="9472" width="2.109375" style="2" customWidth="1"/>
    <col min="9473" max="9473" width="16.77734375" style="2" customWidth="1"/>
    <col min="9474" max="9474" width="13.6640625" style="2" customWidth="1"/>
    <col min="9475" max="9484" width="8.6640625" style="2" customWidth="1"/>
    <col min="9485" max="9485" width="20.77734375" style="2" customWidth="1"/>
    <col min="9486" max="9714" width="10.21875" style="2"/>
    <col min="9715" max="9716" width="0" style="2" hidden="1" customWidth="1"/>
    <col min="9717" max="9717" width="7.6640625" style="2" customWidth="1"/>
    <col min="9718" max="9718" width="4.21875" style="2" customWidth="1"/>
    <col min="9719" max="9719" width="98" style="2" customWidth="1"/>
    <col min="9720" max="9720" width="16.109375" style="2" customWidth="1"/>
    <col min="9721" max="9721" width="1.88671875" style="2" customWidth="1"/>
    <col min="9722" max="9722" width="15.88671875" style="2" customWidth="1"/>
    <col min="9723" max="9723" width="1.88671875" style="2" customWidth="1"/>
    <col min="9724" max="9724" width="13.33203125" style="2" customWidth="1"/>
    <col min="9725" max="9725" width="1.88671875" style="2" customWidth="1"/>
    <col min="9726" max="9726" width="13.33203125" style="2" customWidth="1"/>
    <col min="9727" max="9727" width="2.33203125" style="2" customWidth="1"/>
    <col min="9728" max="9728" width="2.109375" style="2" customWidth="1"/>
    <col min="9729" max="9729" width="16.77734375" style="2" customWidth="1"/>
    <col min="9730" max="9730" width="13.6640625" style="2" customWidth="1"/>
    <col min="9731" max="9740" width="8.6640625" style="2" customWidth="1"/>
    <col min="9741" max="9741" width="20.77734375" style="2" customWidth="1"/>
    <col min="9742" max="9970" width="10.21875" style="2"/>
    <col min="9971" max="9972" width="0" style="2" hidden="1" customWidth="1"/>
    <col min="9973" max="9973" width="7.6640625" style="2" customWidth="1"/>
    <col min="9974" max="9974" width="4.21875" style="2" customWidth="1"/>
    <col min="9975" max="9975" width="98" style="2" customWidth="1"/>
    <col min="9976" max="9976" width="16.109375" style="2" customWidth="1"/>
    <col min="9977" max="9977" width="1.88671875" style="2" customWidth="1"/>
    <col min="9978" max="9978" width="15.88671875" style="2" customWidth="1"/>
    <col min="9979" max="9979" width="1.88671875" style="2" customWidth="1"/>
    <col min="9980" max="9980" width="13.33203125" style="2" customWidth="1"/>
    <col min="9981" max="9981" width="1.88671875" style="2" customWidth="1"/>
    <col min="9982" max="9982" width="13.33203125" style="2" customWidth="1"/>
    <col min="9983" max="9983" width="2.33203125" style="2" customWidth="1"/>
    <col min="9984" max="9984" width="2.109375" style="2" customWidth="1"/>
    <col min="9985" max="9985" width="16.77734375" style="2" customWidth="1"/>
    <col min="9986" max="9986" width="13.6640625" style="2" customWidth="1"/>
    <col min="9987" max="9996" width="8.6640625" style="2" customWidth="1"/>
    <col min="9997" max="9997" width="20.77734375" style="2" customWidth="1"/>
    <col min="9998" max="10226" width="10.21875" style="2"/>
    <col min="10227" max="10228" width="0" style="2" hidden="1" customWidth="1"/>
    <col min="10229" max="10229" width="7.6640625" style="2" customWidth="1"/>
    <col min="10230" max="10230" width="4.21875" style="2" customWidth="1"/>
    <col min="10231" max="10231" width="98" style="2" customWidth="1"/>
    <col min="10232" max="10232" width="16.109375" style="2" customWidth="1"/>
    <col min="10233" max="10233" width="1.88671875" style="2" customWidth="1"/>
    <col min="10234" max="10234" width="15.88671875" style="2" customWidth="1"/>
    <col min="10235" max="10235" width="1.88671875" style="2" customWidth="1"/>
    <col min="10236" max="10236" width="13.33203125" style="2" customWidth="1"/>
    <col min="10237" max="10237" width="1.88671875" style="2" customWidth="1"/>
    <col min="10238" max="10238" width="13.33203125" style="2" customWidth="1"/>
    <col min="10239" max="10239" width="2.33203125" style="2" customWidth="1"/>
    <col min="10240" max="10240" width="2.109375" style="2" customWidth="1"/>
    <col min="10241" max="10241" width="16.77734375" style="2" customWidth="1"/>
    <col min="10242" max="10242" width="13.6640625" style="2" customWidth="1"/>
    <col min="10243" max="10252" width="8.6640625" style="2" customWidth="1"/>
    <col min="10253" max="10253" width="20.77734375" style="2" customWidth="1"/>
    <col min="10254" max="10482" width="10.21875" style="2"/>
    <col min="10483" max="10484" width="0" style="2" hidden="1" customWidth="1"/>
    <col min="10485" max="10485" width="7.6640625" style="2" customWidth="1"/>
    <col min="10486" max="10486" width="4.21875" style="2" customWidth="1"/>
    <col min="10487" max="10487" width="98" style="2" customWidth="1"/>
    <col min="10488" max="10488" width="16.109375" style="2" customWidth="1"/>
    <col min="10489" max="10489" width="1.88671875" style="2" customWidth="1"/>
    <col min="10490" max="10490" width="15.88671875" style="2" customWidth="1"/>
    <col min="10491" max="10491" width="1.88671875" style="2" customWidth="1"/>
    <col min="10492" max="10492" width="13.33203125" style="2" customWidth="1"/>
    <col min="10493" max="10493" width="1.88671875" style="2" customWidth="1"/>
    <col min="10494" max="10494" width="13.33203125" style="2" customWidth="1"/>
    <col min="10495" max="10495" width="2.33203125" style="2" customWidth="1"/>
    <col min="10496" max="10496" width="2.109375" style="2" customWidth="1"/>
    <col min="10497" max="10497" width="16.77734375" style="2" customWidth="1"/>
    <col min="10498" max="10498" width="13.6640625" style="2" customWidth="1"/>
    <col min="10499" max="10508" width="8.6640625" style="2" customWidth="1"/>
    <col min="10509" max="10509" width="20.77734375" style="2" customWidth="1"/>
    <col min="10510" max="10738" width="10.21875" style="2"/>
    <col min="10739" max="10740" width="0" style="2" hidden="1" customWidth="1"/>
    <col min="10741" max="10741" width="7.6640625" style="2" customWidth="1"/>
    <col min="10742" max="10742" width="4.21875" style="2" customWidth="1"/>
    <col min="10743" max="10743" width="98" style="2" customWidth="1"/>
    <col min="10744" max="10744" width="16.109375" style="2" customWidth="1"/>
    <col min="10745" max="10745" width="1.88671875" style="2" customWidth="1"/>
    <col min="10746" max="10746" width="15.88671875" style="2" customWidth="1"/>
    <col min="10747" max="10747" width="1.88671875" style="2" customWidth="1"/>
    <col min="10748" max="10748" width="13.33203125" style="2" customWidth="1"/>
    <col min="10749" max="10749" width="1.88671875" style="2" customWidth="1"/>
    <col min="10750" max="10750" width="13.33203125" style="2" customWidth="1"/>
    <col min="10751" max="10751" width="2.33203125" style="2" customWidth="1"/>
    <col min="10752" max="10752" width="2.109375" style="2" customWidth="1"/>
    <col min="10753" max="10753" width="16.77734375" style="2" customWidth="1"/>
    <col min="10754" max="10754" width="13.6640625" style="2" customWidth="1"/>
    <col min="10755" max="10764" width="8.6640625" style="2" customWidth="1"/>
    <col min="10765" max="10765" width="20.77734375" style="2" customWidth="1"/>
    <col min="10766" max="10994" width="10.21875" style="2"/>
    <col min="10995" max="10996" width="0" style="2" hidden="1" customWidth="1"/>
    <col min="10997" max="10997" width="7.6640625" style="2" customWidth="1"/>
    <col min="10998" max="10998" width="4.21875" style="2" customWidth="1"/>
    <col min="10999" max="10999" width="98" style="2" customWidth="1"/>
    <col min="11000" max="11000" width="16.109375" style="2" customWidth="1"/>
    <col min="11001" max="11001" width="1.88671875" style="2" customWidth="1"/>
    <col min="11002" max="11002" width="15.88671875" style="2" customWidth="1"/>
    <col min="11003" max="11003" width="1.88671875" style="2" customWidth="1"/>
    <col min="11004" max="11004" width="13.33203125" style="2" customWidth="1"/>
    <col min="11005" max="11005" width="1.88671875" style="2" customWidth="1"/>
    <col min="11006" max="11006" width="13.33203125" style="2" customWidth="1"/>
    <col min="11007" max="11007" width="2.33203125" style="2" customWidth="1"/>
    <col min="11008" max="11008" width="2.109375" style="2" customWidth="1"/>
    <col min="11009" max="11009" width="16.77734375" style="2" customWidth="1"/>
    <col min="11010" max="11010" width="13.6640625" style="2" customWidth="1"/>
    <col min="11011" max="11020" width="8.6640625" style="2" customWidth="1"/>
    <col min="11021" max="11021" width="20.77734375" style="2" customWidth="1"/>
    <col min="11022" max="11250" width="10.21875" style="2"/>
    <col min="11251" max="11252" width="0" style="2" hidden="1" customWidth="1"/>
    <col min="11253" max="11253" width="7.6640625" style="2" customWidth="1"/>
    <col min="11254" max="11254" width="4.21875" style="2" customWidth="1"/>
    <col min="11255" max="11255" width="98" style="2" customWidth="1"/>
    <col min="11256" max="11256" width="16.109375" style="2" customWidth="1"/>
    <col min="11257" max="11257" width="1.88671875" style="2" customWidth="1"/>
    <col min="11258" max="11258" width="15.88671875" style="2" customWidth="1"/>
    <col min="11259" max="11259" width="1.88671875" style="2" customWidth="1"/>
    <col min="11260" max="11260" width="13.33203125" style="2" customWidth="1"/>
    <col min="11261" max="11261" width="1.88671875" style="2" customWidth="1"/>
    <col min="11262" max="11262" width="13.33203125" style="2" customWidth="1"/>
    <col min="11263" max="11263" width="2.33203125" style="2" customWidth="1"/>
    <col min="11264" max="11264" width="2.109375" style="2" customWidth="1"/>
    <col min="11265" max="11265" width="16.77734375" style="2" customWidth="1"/>
    <col min="11266" max="11266" width="13.6640625" style="2" customWidth="1"/>
    <col min="11267" max="11276" width="8.6640625" style="2" customWidth="1"/>
    <col min="11277" max="11277" width="20.77734375" style="2" customWidth="1"/>
    <col min="11278" max="11506" width="10.21875" style="2"/>
    <col min="11507" max="11508" width="0" style="2" hidden="1" customWidth="1"/>
    <col min="11509" max="11509" width="7.6640625" style="2" customWidth="1"/>
    <col min="11510" max="11510" width="4.21875" style="2" customWidth="1"/>
    <col min="11511" max="11511" width="98" style="2" customWidth="1"/>
    <col min="11512" max="11512" width="16.109375" style="2" customWidth="1"/>
    <col min="11513" max="11513" width="1.88671875" style="2" customWidth="1"/>
    <col min="11514" max="11514" width="15.88671875" style="2" customWidth="1"/>
    <col min="11515" max="11515" width="1.88671875" style="2" customWidth="1"/>
    <col min="11516" max="11516" width="13.33203125" style="2" customWidth="1"/>
    <col min="11517" max="11517" width="1.88671875" style="2" customWidth="1"/>
    <col min="11518" max="11518" width="13.33203125" style="2" customWidth="1"/>
    <col min="11519" max="11519" width="2.33203125" style="2" customWidth="1"/>
    <col min="11520" max="11520" width="2.109375" style="2" customWidth="1"/>
    <col min="11521" max="11521" width="16.77734375" style="2" customWidth="1"/>
    <col min="11522" max="11522" width="13.6640625" style="2" customWidth="1"/>
    <col min="11523" max="11532" width="8.6640625" style="2" customWidth="1"/>
    <col min="11533" max="11533" width="20.77734375" style="2" customWidth="1"/>
    <col min="11534" max="11762" width="10.21875" style="2"/>
    <col min="11763" max="11764" width="0" style="2" hidden="1" customWidth="1"/>
    <col min="11765" max="11765" width="7.6640625" style="2" customWidth="1"/>
    <col min="11766" max="11766" width="4.21875" style="2" customWidth="1"/>
    <col min="11767" max="11767" width="98" style="2" customWidth="1"/>
    <col min="11768" max="11768" width="16.109375" style="2" customWidth="1"/>
    <col min="11769" max="11769" width="1.88671875" style="2" customWidth="1"/>
    <col min="11770" max="11770" width="15.88671875" style="2" customWidth="1"/>
    <col min="11771" max="11771" width="1.88671875" style="2" customWidth="1"/>
    <col min="11772" max="11772" width="13.33203125" style="2" customWidth="1"/>
    <col min="11773" max="11773" width="1.88671875" style="2" customWidth="1"/>
    <col min="11774" max="11774" width="13.33203125" style="2" customWidth="1"/>
    <col min="11775" max="11775" width="2.33203125" style="2" customWidth="1"/>
    <col min="11776" max="11776" width="2.109375" style="2" customWidth="1"/>
    <col min="11777" max="11777" width="16.77734375" style="2" customWidth="1"/>
    <col min="11778" max="11778" width="13.6640625" style="2" customWidth="1"/>
    <col min="11779" max="11788" width="8.6640625" style="2" customWidth="1"/>
    <col min="11789" max="11789" width="20.77734375" style="2" customWidth="1"/>
    <col min="11790" max="12018" width="10.21875" style="2"/>
    <col min="12019" max="12020" width="0" style="2" hidden="1" customWidth="1"/>
    <col min="12021" max="12021" width="7.6640625" style="2" customWidth="1"/>
    <col min="12022" max="12022" width="4.21875" style="2" customWidth="1"/>
    <col min="12023" max="12023" width="98" style="2" customWidth="1"/>
    <col min="12024" max="12024" width="16.109375" style="2" customWidth="1"/>
    <col min="12025" max="12025" width="1.88671875" style="2" customWidth="1"/>
    <col min="12026" max="12026" width="15.88671875" style="2" customWidth="1"/>
    <col min="12027" max="12027" width="1.88671875" style="2" customWidth="1"/>
    <col min="12028" max="12028" width="13.33203125" style="2" customWidth="1"/>
    <col min="12029" max="12029" width="1.88671875" style="2" customWidth="1"/>
    <col min="12030" max="12030" width="13.33203125" style="2" customWidth="1"/>
    <col min="12031" max="12031" width="2.33203125" style="2" customWidth="1"/>
    <col min="12032" max="12032" width="2.109375" style="2" customWidth="1"/>
    <col min="12033" max="12033" width="16.77734375" style="2" customWidth="1"/>
    <col min="12034" max="12034" width="13.6640625" style="2" customWidth="1"/>
    <col min="12035" max="12044" width="8.6640625" style="2" customWidth="1"/>
    <col min="12045" max="12045" width="20.77734375" style="2" customWidth="1"/>
    <col min="12046" max="12274" width="10.21875" style="2"/>
    <col min="12275" max="12276" width="0" style="2" hidden="1" customWidth="1"/>
    <col min="12277" max="12277" width="7.6640625" style="2" customWidth="1"/>
    <col min="12278" max="12278" width="4.21875" style="2" customWidth="1"/>
    <col min="12279" max="12279" width="98" style="2" customWidth="1"/>
    <col min="12280" max="12280" width="16.109375" style="2" customWidth="1"/>
    <col min="12281" max="12281" width="1.88671875" style="2" customWidth="1"/>
    <col min="12282" max="12282" width="15.88671875" style="2" customWidth="1"/>
    <col min="12283" max="12283" width="1.88671875" style="2" customWidth="1"/>
    <col min="12284" max="12284" width="13.33203125" style="2" customWidth="1"/>
    <col min="12285" max="12285" width="1.88671875" style="2" customWidth="1"/>
    <col min="12286" max="12286" width="13.33203125" style="2" customWidth="1"/>
    <col min="12287" max="12287" width="2.33203125" style="2" customWidth="1"/>
    <col min="12288" max="12288" width="2.109375" style="2" customWidth="1"/>
    <col min="12289" max="12289" width="16.77734375" style="2" customWidth="1"/>
    <col min="12290" max="12290" width="13.6640625" style="2" customWidth="1"/>
    <col min="12291" max="12300" width="8.6640625" style="2" customWidth="1"/>
    <col min="12301" max="12301" width="20.77734375" style="2" customWidth="1"/>
    <col min="12302" max="12530" width="10.21875" style="2"/>
    <col min="12531" max="12532" width="0" style="2" hidden="1" customWidth="1"/>
    <col min="12533" max="12533" width="7.6640625" style="2" customWidth="1"/>
    <col min="12534" max="12534" width="4.21875" style="2" customWidth="1"/>
    <col min="12535" max="12535" width="98" style="2" customWidth="1"/>
    <col min="12536" max="12536" width="16.109375" style="2" customWidth="1"/>
    <col min="12537" max="12537" width="1.88671875" style="2" customWidth="1"/>
    <col min="12538" max="12538" width="15.88671875" style="2" customWidth="1"/>
    <col min="12539" max="12539" width="1.88671875" style="2" customWidth="1"/>
    <col min="12540" max="12540" width="13.33203125" style="2" customWidth="1"/>
    <col min="12541" max="12541" width="1.88671875" style="2" customWidth="1"/>
    <col min="12542" max="12542" width="13.33203125" style="2" customWidth="1"/>
    <col min="12543" max="12543" width="2.33203125" style="2" customWidth="1"/>
    <col min="12544" max="12544" width="2.109375" style="2" customWidth="1"/>
    <col min="12545" max="12545" width="16.77734375" style="2" customWidth="1"/>
    <col min="12546" max="12546" width="13.6640625" style="2" customWidth="1"/>
    <col min="12547" max="12556" width="8.6640625" style="2" customWidth="1"/>
    <col min="12557" max="12557" width="20.77734375" style="2" customWidth="1"/>
    <col min="12558" max="12786" width="10.21875" style="2"/>
    <col min="12787" max="12788" width="0" style="2" hidden="1" customWidth="1"/>
    <col min="12789" max="12789" width="7.6640625" style="2" customWidth="1"/>
    <col min="12790" max="12790" width="4.21875" style="2" customWidth="1"/>
    <col min="12791" max="12791" width="98" style="2" customWidth="1"/>
    <col min="12792" max="12792" width="16.109375" style="2" customWidth="1"/>
    <col min="12793" max="12793" width="1.88671875" style="2" customWidth="1"/>
    <col min="12794" max="12794" width="15.88671875" style="2" customWidth="1"/>
    <col min="12795" max="12795" width="1.88671875" style="2" customWidth="1"/>
    <col min="12796" max="12796" width="13.33203125" style="2" customWidth="1"/>
    <col min="12797" max="12797" width="1.88671875" style="2" customWidth="1"/>
    <col min="12798" max="12798" width="13.33203125" style="2" customWidth="1"/>
    <col min="12799" max="12799" width="2.33203125" style="2" customWidth="1"/>
    <col min="12800" max="12800" width="2.109375" style="2" customWidth="1"/>
    <col min="12801" max="12801" width="16.77734375" style="2" customWidth="1"/>
    <col min="12802" max="12802" width="13.6640625" style="2" customWidth="1"/>
    <col min="12803" max="12812" width="8.6640625" style="2" customWidth="1"/>
    <col min="12813" max="12813" width="20.77734375" style="2" customWidth="1"/>
    <col min="12814" max="13042" width="10.21875" style="2"/>
    <col min="13043" max="13044" width="0" style="2" hidden="1" customWidth="1"/>
    <col min="13045" max="13045" width="7.6640625" style="2" customWidth="1"/>
    <col min="13046" max="13046" width="4.21875" style="2" customWidth="1"/>
    <col min="13047" max="13047" width="98" style="2" customWidth="1"/>
    <col min="13048" max="13048" width="16.109375" style="2" customWidth="1"/>
    <col min="13049" max="13049" width="1.88671875" style="2" customWidth="1"/>
    <col min="13050" max="13050" width="15.88671875" style="2" customWidth="1"/>
    <col min="13051" max="13051" width="1.88671875" style="2" customWidth="1"/>
    <col min="13052" max="13052" width="13.33203125" style="2" customWidth="1"/>
    <col min="13053" max="13053" width="1.88671875" style="2" customWidth="1"/>
    <col min="13054" max="13054" width="13.33203125" style="2" customWidth="1"/>
    <col min="13055" max="13055" width="2.33203125" style="2" customWidth="1"/>
    <col min="13056" max="13056" width="2.109375" style="2" customWidth="1"/>
    <col min="13057" max="13057" width="16.77734375" style="2" customWidth="1"/>
    <col min="13058" max="13058" width="13.6640625" style="2" customWidth="1"/>
    <col min="13059" max="13068" width="8.6640625" style="2" customWidth="1"/>
    <col min="13069" max="13069" width="20.77734375" style="2" customWidth="1"/>
    <col min="13070" max="13298" width="10.21875" style="2"/>
    <col min="13299" max="13300" width="0" style="2" hidden="1" customWidth="1"/>
    <col min="13301" max="13301" width="7.6640625" style="2" customWidth="1"/>
    <col min="13302" max="13302" width="4.21875" style="2" customWidth="1"/>
    <col min="13303" max="13303" width="98" style="2" customWidth="1"/>
    <col min="13304" max="13304" width="16.109375" style="2" customWidth="1"/>
    <col min="13305" max="13305" width="1.88671875" style="2" customWidth="1"/>
    <col min="13306" max="13306" width="15.88671875" style="2" customWidth="1"/>
    <col min="13307" max="13307" width="1.88671875" style="2" customWidth="1"/>
    <col min="13308" max="13308" width="13.33203125" style="2" customWidth="1"/>
    <col min="13309" max="13309" width="1.88671875" style="2" customWidth="1"/>
    <col min="13310" max="13310" width="13.33203125" style="2" customWidth="1"/>
    <col min="13311" max="13311" width="2.33203125" style="2" customWidth="1"/>
    <col min="13312" max="13312" width="2.109375" style="2" customWidth="1"/>
    <col min="13313" max="13313" width="16.77734375" style="2" customWidth="1"/>
    <col min="13314" max="13314" width="13.6640625" style="2" customWidth="1"/>
    <col min="13315" max="13324" width="8.6640625" style="2" customWidth="1"/>
    <col min="13325" max="13325" width="20.77734375" style="2" customWidth="1"/>
    <col min="13326" max="13554" width="10.21875" style="2"/>
    <col min="13555" max="13556" width="0" style="2" hidden="1" customWidth="1"/>
    <col min="13557" max="13557" width="7.6640625" style="2" customWidth="1"/>
    <col min="13558" max="13558" width="4.21875" style="2" customWidth="1"/>
    <col min="13559" max="13559" width="98" style="2" customWidth="1"/>
    <col min="13560" max="13560" width="16.109375" style="2" customWidth="1"/>
    <col min="13561" max="13561" width="1.88671875" style="2" customWidth="1"/>
    <col min="13562" max="13562" width="15.88671875" style="2" customWidth="1"/>
    <col min="13563" max="13563" width="1.88671875" style="2" customWidth="1"/>
    <col min="13564" max="13564" width="13.33203125" style="2" customWidth="1"/>
    <col min="13565" max="13565" width="1.88671875" style="2" customWidth="1"/>
    <col min="13566" max="13566" width="13.33203125" style="2" customWidth="1"/>
    <col min="13567" max="13567" width="2.33203125" style="2" customWidth="1"/>
    <col min="13568" max="13568" width="2.109375" style="2" customWidth="1"/>
    <col min="13569" max="13569" width="16.77734375" style="2" customWidth="1"/>
    <col min="13570" max="13570" width="13.6640625" style="2" customWidth="1"/>
    <col min="13571" max="13580" width="8.6640625" style="2" customWidth="1"/>
    <col min="13581" max="13581" width="20.77734375" style="2" customWidth="1"/>
    <col min="13582" max="13810" width="10.21875" style="2"/>
    <col min="13811" max="13812" width="0" style="2" hidden="1" customWidth="1"/>
    <col min="13813" max="13813" width="7.6640625" style="2" customWidth="1"/>
    <col min="13814" max="13814" width="4.21875" style="2" customWidth="1"/>
    <col min="13815" max="13815" width="98" style="2" customWidth="1"/>
    <col min="13816" max="13816" width="16.109375" style="2" customWidth="1"/>
    <col min="13817" max="13817" width="1.88671875" style="2" customWidth="1"/>
    <col min="13818" max="13818" width="15.88671875" style="2" customWidth="1"/>
    <col min="13819" max="13819" width="1.88671875" style="2" customWidth="1"/>
    <col min="13820" max="13820" width="13.33203125" style="2" customWidth="1"/>
    <col min="13821" max="13821" width="1.88671875" style="2" customWidth="1"/>
    <col min="13822" max="13822" width="13.33203125" style="2" customWidth="1"/>
    <col min="13823" max="13823" width="2.33203125" style="2" customWidth="1"/>
    <col min="13824" max="13824" width="2.109375" style="2" customWidth="1"/>
    <col min="13825" max="13825" width="16.77734375" style="2" customWidth="1"/>
    <col min="13826" max="13826" width="13.6640625" style="2" customWidth="1"/>
    <col min="13827" max="13836" width="8.6640625" style="2" customWidth="1"/>
    <col min="13837" max="13837" width="20.77734375" style="2" customWidth="1"/>
    <col min="13838" max="14066" width="10.21875" style="2"/>
    <col min="14067" max="14068" width="0" style="2" hidden="1" customWidth="1"/>
    <col min="14069" max="14069" width="7.6640625" style="2" customWidth="1"/>
    <col min="14070" max="14070" width="4.21875" style="2" customWidth="1"/>
    <col min="14071" max="14071" width="98" style="2" customWidth="1"/>
    <col min="14072" max="14072" width="16.109375" style="2" customWidth="1"/>
    <col min="14073" max="14073" width="1.88671875" style="2" customWidth="1"/>
    <col min="14074" max="14074" width="15.88671875" style="2" customWidth="1"/>
    <col min="14075" max="14075" width="1.88671875" style="2" customWidth="1"/>
    <col min="14076" max="14076" width="13.33203125" style="2" customWidth="1"/>
    <col min="14077" max="14077" width="1.88671875" style="2" customWidth="1"/>
    <col min="14078" max="14078" width="13.33203125" style="2" customWidth="1"/>
    <col min="14079" max="14079" width="2.33203125" style="2" customWidth="1"/>
    <col min="14080" max="14080" width="2.109375" style="2" customWidth="1"/>
    <col min="14081" max="14081" width="16.77734375" style="2" customWidth="1"/>
    <col min="14082" max="14082" width="13.6640625" style="2" customWidth="1"/>
    <col min="14083" max="14092" width="8.6640625" style="2" customWidth="1"/>
    <col min="14093" max="14093" width="20.77734375" style="2" customWidth="1"/>
    <col min="14094" max="14322" width="10.21875" style="2"/>
    <col min="14323" max="14324" width="0" style="2" hidden="1" customWidth="1"/>
    <col min="14325" max="14325" width="7.6640625" style="2" customWidth="1"/>
    <col min="14326" max="14326" width="4.21875" style="2" customWidth="1"/>
    <col min="14327" max="14327" width="98" style="2" customWidth="1"/>
    <col min="14328" max="14328" width="16.109375" style="2" customWidth="1"/>
    <col min="14329" max="14329" width="1.88671875" style="2" customWidth="1"/>
    <col min="14330" max="14330" width="15.88671875" style="2" customWidth="1"/>
    <col min="14331" max="14331" width="1.88671875" style="2" customWidth="1"/>
    <col min="14332" max="14332" width="13.33203125" style="2" customWidth="1"/>
    <col min="14333" max="14333" width="1.88671875" style="2" customWidth="1"/>
    <col min="14334" max="14334" width="13.33203125" style="2" customWidth="1"/>
    <col min="14335" max="14335" width="2.33203125" style="2" customWidth="1"/>
    <col min="14336" max="14336" width="2.109375" style="2" customWidth="1"/>
    <col min="14337" max="14337" width="16.77734375" style="2" customWidth="1"/>
    <col min="14338" max="14338" width="13.6640625" style="2" customWidth="1"/>
    <col min="14339" max="14348" width="8.6640625" style="2" customWidth="1"/>
    <col min="14349" max="14349" width="20.77734375" style="2" customWidth="1"/>
    <col min="14350" max="14578" width="10.21875" style="2"/>
    <col min="14579" max="14580" width="0" style="2" hidden="1" customWidth="1"/>
    <col min="14581" max="14581" width="7.6640625" style="2" customWidth="1"/>
    <col min="14582" max="14582" width="4.21875" style="2" customWidth="1"/>
    <col min="14583" max="14583" width="98" style="2" customWidth="1"/>
    <col min="14584" max="14584" width="16.109375" style="2" customWidth="1"/>
    <col min="14585" max="14585" width="1.88671875" style="2" customWidth="1"/>
    <col min="14586" max="14586" width="15.88671875" style="2" customWidth="1"/>
    <col min="14587" max="14587" width="1.88671875" style="2" customWidth="1"/>
    <col min="14588" max="14588" width="13.33203125" style="2" customWidth="1"/>
    <col min="14589" max="14589" width="1.88671875" style="2" customWidth="1"/>
    <col min="14590" max="14590" width="13.33203125" style="2" customWidth="1"/>
    <col min="14591" max="14591" width="2.33203125" style="2" customWidth="1"/>
    <col min="14592" max="14592" width="2.109375" style="2" customWidth="1"/>
    <col min="14593" max="14593" width="16.77734375" style="2" customWidth="1"/>
    <col min="14594" max="14594" width="13.6640625" style="2" customWidth="1"/>
    <col min="14595" max="14604" width="8.6640625" style="2" customWidth="1"/>
    <col min="14605" max="14605" width="20.77734375" style="2" customWidth="1"/>
    <col min="14606" max="14834" width="10.21875" style="2"/>
    <col min="14835" max="14836" width="0" style="2" hidden="1" customWidth="1"/>
    <col min="14837" max="14837" width="7.6640625" style="2" customWidth="1"/>
    <col min="14838" max="14838" width="4.21875" style="2" customWidth="1"/>
    <col min="14839" max="14839" width="98" style="2" customWidth="1"/>
    <col min="14840" max="14840" width="16.109375" style="2" customWidth="1"/>
    <col min="14841" max="14841" width="1.88671875" style="2" customWidth="1"/>
    <col min="14842" max="14842" width="15.88671875" style="2" customWidth="1"/>
    <col min="14843" max="14843" width="1.88671875" style="2" customWidth="1"/>
    <col min="14844" max="14844" width="13.33203125" style="2" customWidth="1"/>
    <col min="14845" max="14845" width="1.88671875" style="2" customWidth="1"/>
    <col min="14846" max="14846" width="13.33203125" style="2" customWidth="1"/>
    <col min="14847" max="14847" width="2.33203125" style="2" customWidth="1"/>
    <col min="14848" max="14848" width="2.109375" style="2" customWidth="1"/>
    <col min="14849" max="14849" width="16.77734375" style="2" customWidth="1"/>
    <col min="14850" max="14850" width="13.6640625" style="2" customWidth="1"/>
    <col min="14851" max="14860" width="8.6640625" style="2" customWidth="1"/>
    <col min="14861" max="14861" width="20.77734375" style="2" customWidth="1"/>
    <col min="14862" max="15090" width="10.21875" style="2"/>
    <col min="15091" max="15092" width="0" style="2" hidden="1" customWidth="1"/>
    <col min="15093" max="15093" width="7.6640625" style="2" customWidth="1"/>
    <col min="15094" max="15094" width="4.21875" style="2" customWidth="1"/>
    <col min="15095" max="15095" width="98" style="2" customWidth="1"/>
    <col min="15096" max="15096" width="16.109375" style="2" customWidth="1"/>
    <col min="15097" max="15097" width="1.88671875" style="2" customWidth="1"/>
    <col min="15098" max="15098" width="15.88671875" style="2" customWidth="1"/>
    <col min="15099" max="15099" width="1.88671875" style="2" customWidth="1"/>
    <col min="15100" max="15100" width="13.33203125" style="2" customWidth="1"/>
    <col min="15101" max="15101" width="1.88671875" style="2" customWidth="1"/>
    <col min="15102" max="15102" width="13.33203125" style="2" customWidth="1"/>
    <col min="15103" max="15103" width="2.33203125" style="2" customWidth="1"/>
    <col min="15104" max="15104" width="2.109375" style="2" customWidth="1"/>
    <col min="15105" max="15105" width="16.77734375" style="2" customWidth="1"/>
    <col min="15106" max="15106" width="13.6640625" style="2" customWidth="1"/>
    <col min="15107" max="15116" width="8.6640625" style="2" customWidth="1"/>
    <col min="15117" max="15117" width="20.77734375" style="2" customWidth="1"/>
    <col min="15118" max="15346" width="10.21875" style="2"/>
    <col min="15347" max="15348" width="0" style="2" hidden="1" customWidth="1"/>
    <col min="15349" max="15349" width="7.6640625" style="2" customWidth="1"/>
    <col min="15350" max="15350" width="4.21875" style="2" customWidth="1"/>
    <col min="15351" max="15351" width="98" style="2" customWidth="1"/>
    <col min="15352" max="15352" width="16.109375" style="2" customWidth="1"/>
    <col min="15353" max="15353" width="1.88671875" style="2" customWidth="1"/>
    <col min="15354" max="15354" width="15.88671875" style="2" customWidth="1"/>
    <col min="15355" max="15355" width="1.88671875" style="2" customWidth="1"/>
    <col min="15356" max="15356" width="13.33203125" style="2" customWidth="1"/>
    <col min="15357" max="15357" width="1.88671875" style="2" customWidth="1"/>
    <col min="15358" max="15358" width="13.33203125" style="2" customWidth="1"/>
    <col min="15359" max="15359" width="2.33203125" style="2" customWidth="1"/>
    <col min="15360" max="15360" width="2.109375" style="2" customWidth="1"/>
    <col min="15361" max="15361" width="16.77734375" style="2" customWidth="1"/>
    <col min="15362" max="15362" width="13.6640625" style="2" customWidth="1"/>
    <col min="15363" max="15372" width="8.6640625" style="2" customWidth="1"/>
    <col min="15373" max="15373" width="20.77734375" style="2" customWidth="1"/>
    <col min="15374" max="15602" width="10.21875" style="2"/>
    <col min="15603" max="15604" width="0" style="2" hidden="1" customWidth="1"/>
    <col min="15605" max="15605" width="7.6640625" style="2" customWidth="1"/>
    <col min="15606" max="15606" width="4.21875" style="2" customWidth="1"/>
    <col min="15607" max="15607" width="98" style="2" customWidth="1"/>
    <col min="15608" max="15608" width="16.109375" style="2" customWidth="1"/>
    <col min="15609" max="15609" width="1.88671875" style="2" customWidth="1"/>
    <col min="15610" max="15610" width="15.88671875" style="2" customWidth="1"/>
    <col min="15611" max="15611" width="1.88671875" style="2" customWidth="1"/>
    <col min="15612" max="15612" width="13.33203125" style="2" customWidth="1"/>
    <col min="15613" max="15613" width="1.88671875" style="2" customWidth="1"/>
    <col min="15614" max="15614" width="13.33203125" style="2" customWidth="1"/>
    <col min="15615" max="15615" width="2.33203125" style="2" customWidth="1"/>
    <col min="15616" max="15616" width="2.109375" style="2" customWidth="1"/>
    <col min="15617" max="15617" width="16.77734375" style="2" customWidth="1"/>
    <col min="15618" max="15618" width="13.6640625" style="2" customWidth="1"/>
    <col min="15619" max="15628" width="8.6640625" style="2" customWidth="1"/>
    <col min="15629" max="15629" width="20.77734375" style="2" customWidth="1"/>
    <col min="15630" max="15858" width="10.21875" style="2"/>
    <col min="15859" max="15860" width="0" style="2" hidden="1" customWidth="1"/>
    <col min="15861" max="15861" width="7.6640625" style="2" customWidth="1"/>
    <col min="15862" max="15862" width="4.21875" style="2" customWidth="1"/>
    <col min="15863" max="15863" width="98" style="2" customWidth="1"/>
    <col min="15864" max="15864" width="16.109375" style="2" customWidth="1"/>
    <col min="15865" max="15865" width="1.88671875" style="2" customWidth="1"/>
    <col min="15866" max="15866" width="15.88671875" style="2" customWidth="1"/>
    <col min="15867" max="15867" width="1.88671875" style="2" customWidth="1"/>
    <col min="15868" max="15868" width="13.33203125" style="2" customWidth="1"/>
    <col min="15869" max="15869" width="1.88671875" style="2" customWidth="1"/>
    <col min="15870" max="15870" width="13.33203125" style="2" customWidth="1"/>
    <col min="15871" max="15871" width="2.33203125" style="2" customWidth="1"/>
    <col min="15872" max="15872" width="2.109375" style="2" customWidth="1"/>
    <col min="15873" max="15873" width="16.77734375" style="2" customWidth="1"/>
    <col min="15874" max="15874" width="13.6640625" style="2" customWidth="1"/>
    <col min="15875" max="15884" width="8.6640625" style="2" customWidth="1"/>
    <col min="15885" max="15885" width="20.77734375" style="2" customWidth="1"/>
    <col min="15886" max="16114" width="10.21875" style="2"/>
    <col min="16115" max="16116" width="0" style="2" hidden="1" customWidth="1"/>
    <col min="16117" max="16117" width="7.6640625" style="2" customWidth="1"/>
    <col min="16118" max="16118" width="4.21875" style="2" customWidth="1"/>
    <col min="16119" max="16119" width="98" style="2" customWidth="1"/>
    <col min="16120" max="16120" width="16.109375" style="2" customWidth="1"/>
    <col min="16121" max="16121" width="1.88671875" style="2" customWidth="1"/>
    <col min="16122" max="16122" width="15.88671875" style="2" customWidth="1"/>
    <col min="16123" max="16123" width="1.88671875" style="2" customWidth="1"/>
    <col min="16124" max="16124" width="13.33203125" style="2" customWidth="1"/>
    <col min="16125" max="16125" width="1.88671875" style="2" customWidth="1"/>
    <col min="16126" max="16126" width="13.33203125" style="2" customWidth="1"/>
    <col min="16127" max="16127" width="2.33203125" style="2" customWidth="1"/>
    <col min="16128" max="16128" width="2.109375" style="2" customWidth="1"/>
    <col min="16129" max="16129" width="16.77734375" style="2" customWidth="1"/>
    <col min="16130" max="16130" width="13.6640625" style="2" customWidth="1"/>
    <col min="16131" max="16140" width="8.6640625" style="2" customWidth="1"/>
    <col min="16141" max="16141" width="20.77734375" style="2" customWidth="1"/>
    <col min="16142" max="16384" width="10.21875" style="2"/>
  </cols>
  <sheetData>
    <row r="1" spans="1:19" ht="30">
      <c r="A1" s="2" t="s">
        <v>0</v>
      </c>
      <c r="B1" s="4"/>
      <c r="C1" s="298" t="s">
        <v>1</v>
      </c>
      <c r="D1" s="298"/>
      <c r="E1" s="298"/>
      <c r="F1" s="19"/>
      <c r="G1" s="19"/>
      <c r="H1" s="19"/>
      <c r="I1" s="19"/>
      <c r="J1" s="19"/>
      <c r="K1" s="19"/>
    </row>
    <row r="2" spans="1:19" ht="23.25">
      <c r="A2" s="2" t="s">
        <v>2</v>
      </c>
      <c r="B2" s="4">
        <v>38353</v>
      </c>
      <c r="C2" s="1142" t="s">
        <v>3</v>
      </c>
      <c r="D2" s="1142"/>
      <c r="E2" s="1142"/>
      <c r="F2" s="19"/>
      <c r="G2" s="19"/>
      <c r="H2" s="19"/>
      <c r="I2" s="19"/>
      <c r="J2" s="19"/>
      <c r="K2" s="19"/>
    </row>
    <row r="3" spans="1:19" ht="23.25">
      <c r="A3" s="2" t="s">
        <v>4</v>
      </c>
      <c r="B3" s="4">
        <v>38717</v>
      </c>
      <c r="C3" s="20" t="s">
        <v>5</v>
      </c>
      <c r="D3" s="25"/>
      <c r="E3" s="25"/>
      <c r="F3" s="19"/>
      <c r="G3" s="25"/>
      <c r="H3" s="19"/>
      <c r="I3" s="19"/>
      <c r="J3" s="19"/>
      <c r="K3" s="19"/>
    </row>
    <row r="4" spans="1:19" ht="29.25" customHeight="1">
      <c r="C4" s="29"/>
      <c r="D4" s="21"/>
      <c r="E4" s="16"/>
      <c r="F4" s="16"/>
      <c r="G4" s="16"/>
      <c r="H4" s="16"/>
      <c r="I4" s="16"/>
      <c r="J4" s="16"/>
      <c r="K4" s="16"/>
    </row>
    <row r="5" spans="1:19" s="6" customFormat="1" ht="49.5" customHeight="1" thickBot="1">
      <c r="C5" s="1143"/>
      <c r="D5" s="1143"/>
      <c r="E5" s="1143"/>
      <c r="F5" s="72"/>
      <c r="G5" s="71" t="s">
        <v>6</v>
      </c>
      <c r="H5" s="72"/>
      <c r="I5" s="71" t="s">
        <v>7</v>
      </c>
      <c r="J5" s="72"/>
      <c r="K5" s="71" t="s">
        <v>8</v>
      </c>
      <c r="L5" s="101"/>
      <c r="M5" s="101"/>
      <c r="Q5" s="277" t="s">
        <v>9</v>
      </c>
      <c r="R5" s="277" t="str">
        <f>K6</f>
        <v>3/23 - 2/24</v>
      </c>
    </row>
    <row r="6" spans="1:19" ht="20.25">
      <c r="C6" s="70"/>
      <c r="D6" s="69" t="s">
        <v>17</v>
      </c>
      <c r="E6" s="70"/>
      <c r="F6" s="74"/>
      <c r="G6" s="73" t="s">
        <v>18</v>
      </c>
      <c r="H6" s="74"/>
      <c r="I6" s="276" t="str">
        <f>G6</f>
        <v>3/23 - 2/24</v>
      </c>
      <c r="J6" s="74"/>
      <c r="K6" s="73" t="str">
        <f>G6</f>
        <v>3/23 - 2/24</v>
      </c>
      <c r="L6" s="55"/>
      <c r="M6" s="55"/>
      <c r="P6" s="32" t="s">
        <v>19</v>
      </c>
      <c r="Q6" s="64">
        <f>E8</f>
        <v>200000</v>
      </c>
      <c r="R6" s="388" t="e">
        <f>MAX(0,'2023.06 to 2024.05 LC'!$F11-$Q$6)</f>
        <v>#VALUE!</v>
      </c>
    </row>
    <row r="7" spans="1:19" s="7" customFormat="1" ht="18">
      <c r="A7" s="7" t="s">
        <v>20</v>
      </c>
      <c r="B7" s="7" t="s">
        <v>20</v>
      </c>
      <c r="C7" s="26">
        <v>1</v>
      </c>
      <c r="D7" s="75" t="s">
        <v>21</v>
      </c>
      <c r="E7" s="75"/>
      <c r="F7" s="92"/>
      <c r="G7" s="301">
        <f ca="1">(SUM(OFFSET('Medical &amp; Rx Total'!$D$7,COUNT('Medical &amp; Rx Total'!$D$8:$D$30),0,-12)))+(SUM(OFFSET('Medical &amp; Rx Total'!$H$7,COUNT('Medical &amp; Rx Total'!$H$8:$H$30),0,-12)))</f>
        <v>17995045.890000001</v>
      </c>
      <c r="H7" s="93"/>
      <c r="I7" s="91">
        <f ca="1">(SUM(OFFSET('Medical &amp; Rx Total'!$G$7,COUNT('Medical &amp; Rx Total'!$G$8:$G$30),0,-12)))</f>
        <v>3858201.0899999994</v>
      </c>
      <c r="J7" s="93"/>
      <c r="K7" s="91">
        <f ca="1">+G7+I7</f>
        <v>21853246.98</v>
      </c>
      <c r="L7" s="102"/>
      <c r="M7" s="102"/>
      <c r="P7" s="35" t="s">
        <v>22</v>
      </c>
      <c r="Q7" s="64">
        <f>E9</f>
        <v>70000</v>
      </c>
      <c r="R7" s="389" t="e">
        <f>MAX(0,'2023.06 to 2024.05 LC'!$F12-$Q$6)</f>
        <v>#VALUE!</v>
      </c>
    </row>
    <row r="8" spans="1:19" ht="18">
      <c r="C8" s="26">
        <f>+C7+1</f>
        <v>2</v>
      </c>
      <c r="D8" s="77" t="s">
        <v>23</v>
      </c>
      <c r="E8" s="462">
        <v>200000</v>
      </c>
      <c r="F8" s="95"/>
      <c r="G8" s="95" t="e">
        <f>-($R$226)</f>
        <v>#VALUE!</v>
      </c>
      <c r="H8" s="95"/>
      <c r="I8" s="95">
        <v>0</v>
      </c>
      <c r="J8" s="95"/>
      <c r="K8" s="95" t="e">
        <f>+I8+G8</f>
        <v>#VALUE!</v>
      </c>
      <c r="L8" s="55"/>
      <c r="M8" s="55"/>
      <c r="R8" s="389" t="e">
        <f>MAX(0,'2023.06 to 2024.05 LC'!$F13-$Q$6)</f>
        <v>#VALUE!</v>
      </c>
    </row>
    <row r="9" spans="1:19" ht="18">
      <c r="C9" s="26">
        <f>+C8+1</f>
        <v>3</v>
      </c>
      <c r="D9" s="15" t="s">
        <v>24</v>
      </c>
      <c r="E9" s="463">
        <v>70000</v>
      </c>
      <c r="F9" s="92"/>
      <c r="G9" s="91" t="e">
        <f ca="1">+G7+G8</f>
        <v>#VALUE!</v>
      </c>
      <c r="H9" s="93"/>
      <c r="I9" s="91">
        <f ca="1">+I8+I7</f>
        <v>3858201.0899999994</v>
      </c>
      <c r="J9" s="93"/>
      <c r="K9" s="91" t="e">
        <f ca="1">+K8+K7</f>
        <v>#VALUE!</v>
      </c>
      <c r="L9" s="55"/>
      <c r="M9" s="55"/>
      <c r="R9" s="389" t="e">
        <f>MAX(0,'2023.06 to 2024.05 LC'!$F14-$Q$6)</f>
        <v>#VALUE!</v>
      </c>
    </row>
    <row r="10" spans="1:19" ht="18">
      <c r="C10" s="26">
        <f>+C9+1</f>
        <v>4</v>
      </c>
      <c r="D10" s="76" t="s">
        <v>26</v>
      </c>
      <c r="E10" s="14"/>
      <c r="F10" s="95"/>
      <c r="G10" s="95">
        <f ca="1">(SUM(OFFSET('Medical &amp; Rx Total'!$B$7,COUNT('Medical &amp; Rx Total'!$B$8:$B$30),0,-13)))-(SUM(OFFSET('Medical &amp; Rx Total'!$B$7,COUNT('Medical &amp; Rx Total'!$B$8:$B$30),0,-1)))</f>
        <v>6948</v>
      </c>
      <c r="H10" s="96"/>
      <c r="I10" s="95">
        <f ca="1">+G10</f>
        <v>6948</v>
      </c>
      <c r="J10" s="95"/>
      <c r="K10" s="95">
        <f ca="1">+G10</f>
        <v>6948</v>
      </c>
      <c r="L10" s="55"/>
      <c r="M10" s="55"/>
      <c r="Q10" s="102"/>
      <c r="R10" s="389" t="e">
        <f>MAX(0,'2023.06 to 2024.05 LC'!$F15-$Q$6)</f>
        <v>#VALUE!</v>
      </c>
    </row>
    <row r="11" spans="1:19" ht="18">
      <c r="C11" s="26">
        <f>+C10+1</f>
        <v>5</v>
      </c>
      <c r="D11" s="67" t="s">
        <v>27</v>
      </c>
      <c r="E11" s="14"/>
      <c r="F11" s="98"/>
      <c r="G11" s="97" t="e">
        <f ca="1">+G9/G10</f>
        <v>#VALUE!</v>
      </c>
      <c r="H11" s="98"/>
      <c r="I11" s="97">
        <f ca="1">+I9/I10</f>
        <v>555.29664507772009</v>
      </c>
      <c r="J11" s="98"/>
      <c r="K11" s="97" t="e">
        <f ca="1">+K9/K10</f>
        <v>#VALUE!</v>
      </c>
      <c r="L11" s="55"/>
      <c r="M11" s="55"/>
      <c r="R11" s="389" t="e">
        <f>MAX(0,'2023.06 to 2024.05 LC'!$F16-$Q$6)</f>
        <v>#VALUE!</v>
      </c>
    </row>
    <row r="12" spans="1:19" ht="9" customHeight="1">
      <c r="C12" s="26" t="s">
        <v>20</v>
      </c>
      <c r="D12" s="16"/>
      <c r="E12" s="16"/>
      <c r="F12" s="92"/>
      <c r="G12" s="55"/>
      <c r="H12" s="55"/>
      <c r="I12" s="55"/>
      <c r="J12" s="55"/>
      <c r="K12" s="55"/>
      <c r="L12" s="55"/>
      <c r="M12" s="55"/>
      <c r="R12" s="389" t="e">
        <f>MAX(0,'2023.06 to 2024.05 LC'!$F17-$Q$6)</f>
        <v>#VALUE!</v>
      </c>
      <c r="S12" s="2" t="s">
        <v>20</v>
      </c>
    </row>
    <row r="13" spans="1:19" ht="20.25">
      <c r="C13" s="68"/>
      <c r="D13" s="69" t="s">
        <v>28</v>
      </c>
      <c r="E13" s="402"/>
      <c r="F13" s="90"/>
      <c r="G13" s="100"/>
      <c r="H13" s="90"/>
      <c r="I13" s="100"/>
      <c r="J13" s="90"/>
      <c r="K13" s="100"/>
      <c r="L13" s="55"/>
      <c r="M13" s="55"/>
      <c r="Q13" s="102"/>
      <c r="R13" s="389" t="e">
        <f>MAX(0,'2023.06 to 2024.05 LC'!$F18-$Q$6)</f>
        <v>#VALUE!</v>
      </c>
    </row>
    <row r="14" spans="1:19" ht="18">
      <c r="C14" s="26">
        <f>C11+1</f>
        <v>6</v>
      </c>
      <c r="D14" s="15" t="s">
        <v>29</v>
      </c>
      <c r="E14" s="14"/>
      <c r="F14" s="92"/>
      <c r="G14" s="91">
        <v>150000</v>
      </c>
      <c r="H14" s="91"/>
      <c r="I14" s="91">
        <v>0</v>
      </c>
      <c r="J14" s="93"/>
      <c r="K14" s="91">
        <f>+I14+G14</f>
        <v>150000</v>
      </c>
      <c r="M14" s="465" t="s">
        <v>30</v>
      </c>
      <c r="R14" s="389" t="e">
        <f>MAX(0,'2023.06 to 2024.05 LC'!$F19-$Q$6)</f>
        <v>#VALUE!</v>
      </c>
    </row>
    <row r="15" spans="1:19" ht="18">
      <c r="C15" s="26">
        <f>+C14+1</f>
        <v>7</v>
      </c>
      <c r="D15" s="1144" t="s">
        <v>31</v>
      </c>
      <c r="E15" s="1144"/>
      <c r="F15" s="92"/>
      <c r="G15" s="92">
        <v>0</v>
      </c>
      <c r="H15" s="101"/>
      <c r="I15" s="92">
        <v>0</v>
      </c>
      <c r="J15" s="92"/>
      <c r="K15" s="92">
        <f>+I15+G15</f>
        <v>0</v>
      </c>
      <c r="L15" s="55"/>
      <c r="M15" s="55"/>
      <c r="R15" s="389" t="e">
        <f>MAX(0,'2023.06 to 2024.05 LC'!$F20-$Q$6)</f>
        <v>#VALUE!</v>
      </c>
    </row>
    <row r="16" spans="1:19" ht="18">
      <c r="C16" s="26">
        <f>+C15+1</f>
        <v>8</v>
      </c>
      <c r="D16" s="14" t="s">
        <v>32</v>
      </c>
      <c r="E16" s="14"/>
      <c r="F16" s="95"/>
      <c r="G16" s="95">
        <f>-($R$227*$Q$6)+(-$Q$7)</f>
        <v>-70000</v>
      </c>
      <c r="H16" s="302"/>
      <c r="I16" s="95">
        <v>0</v>
      </c>
      <c r="J16" s="95"/>
      <c r="K16" s="95">
        <f>+I16+G16</f>
        <v>-70000</v>
      </c>
      <c r="L16" s="55"/>
      <c r="M16" s="55"/>
      <c r="Q16" s="102"/>
      <c r="R16" s="389" t="e">
        <f>MAX(0,'2023.06 to 2024.05 LC'!$F21-$Q$6)</f>
        <v>#VALUE!</v>
      </c>
    </row>
    <row r="17" spans="1:18" ht="18">
      <c r="C17" s="26">
        <f>+C16+1</f>
        <v>9</v>
      </c>
      <c r="D17" s="76" t="s">
        <v>33</v>
      </c>
      <c r="E17" s="14"/>
      <c r="F17" s="92"/>
      <c r="G17" s="91" t="e">
        <f ca="1">+G16+G15+G14+G9</f>
        <v>#VALUE!</v>
      </c>
      <c r="H17" s="92"/>
      <c r="I17" s="91">
        <f ca="1">+I16+I15+I14+I9</f>
        <v>3858201.0899999994</v>
      </c>
      <c r="J17" s="92"/>
      <c r="K17" s="91" t="e">
        <f ca="1">+I17+G17</f>
        <v>#VALUE!</v>
      </c>
      <c r="L17" s="55"/>
      <c r="M17" s="55"/>
      <c r="R17" s="389" t="e">
        <f>MAX(0,'2023.06 to 2024.05 LC'!$F22-$Q$6)</f>
        <v>#VALUE!</v>
      </c>
    </row>
    <row r="18" spans="1:18" ht="9" customHeight="1">
      <c r="C18" s="26"/>
      <c r="D18" s="76"/>
      <c r="E18" s="14"/>
      <c r="F18" s="92"/>
      <c r="G18" s="91"/>
      <c r="H18" s="92"/>
      <c r="I18" s="91"/>
      <c r="J18" s="92"/>
      <c r="K18" s="91"/>
      <c r="L18" s="55"/>
      <c r="M18" s="55"/>
      <c r="R18" s="389" t="e">
        <f>MAX(0,'2023.06 to 2024.05 LC'!$F23-$Q$6)</f>
        <v>#VALUE!</v>
      </c>
    </row>
    <row r="19" spans="1:18" ht="18">
      <c r="C19" s="26">
        <f>C17+1</f>
        <v>10</v>
      </c>
      <c r="D19" s="14" t="s">
        <v>34</v>
      </c>
      <c r="E19" s="14"/>
      <c r="F19" s="101"/>
      <c r="G19" s="103">
        <v>0.08</v>
      </c>
      <c r="H19" s="101"/>
      <c r="I19" s="103">
        <v>8.5000000000000006E-2</v>
      </c>
      <c r="J19" s="101"/>
      <c r="K19" s="103" t="e">
        <f ca="1">+((G19*G17)+(I19*I17))/K17</f>
        <v>#VALUE!</v>
      </c>
      <c r="L19" s="55"/>
      <c r="M19" s="55"/>
      <c r="Q19" s="102"/>
      <c r="R19" s="389" t="e">
        <f>MAX(0,'2023.06 to 2024.05 LC'!$F24-$Q$6)</f>
        <v>#VALUE!</v>
      </c>
    </row>
    <row r="20" spans="1:18" ht="18">
      <c r="B20" s="2">
        <v>10</v>
      </c>
      <c r="C20" s="26">
        <f>C19+1</f>
        <v>11</v>
      </c>
      <c r="D20" s="77" t="s">
        <v>35</v>
      </c>
      <c r="F20" s="303"/>
      <c r="G20" s="304">
        <f>(12+(12-COUNT('Medical &amp; Rx Total'!$B$19:$B$30)))+1</f>
        <v>20</v>
      </c>
      <c r="H20" s="305"/>
      <c r="I20" s="304">
        <f>+G20</f>
        <v>20</v>
      </c>
      <c r="J20" s="305"/>
      <c r="K20" s="304">
        <f>+G20</f>
        <v>20</v>
      </c>
      <c r="M20" s="55"/>
      <c r="R20" s="389" t="e">
        <f>MAX(0,'2023.06 to 2024.05 LC'!$F25-$Q$6)</f>
        <v>#VALUE!</v>
      </c>
    </row>
    <row r="21" spans="1:18" s="8" customFormat="1" ht="18">
      <c r="C21" s="26">
        <f>C20+1</f>
        <v>12</v>
      </c>
      <c r="D21" s="78" t="s">
        <v>36</v>
      </c>
      <c r="E21" s="22"/>
      <c r="F21" s="91"/>
      <c r="G21" s="104">
        <f>+((1+G19)^(G20/12))-1</f>
        <v>0.13685809661716242</v>
      </c>
      <c r="H21" s="91"/>
      <c r="I21" s="104">
        <f>+((1+I19)^(I20/12))-1</f>
        <v>0.14564367999814354</v>
      </c>
      <c r="J21" s="91"/>
      <c r="K21" s="104" t="e">
        <f ca="1">+((1+K19)^(K20/12))-1</f>
        <v>#VALUE!</v>
      </c>
      <c r="L21" s="105"/>
      <c r="M21" s="105"/>
      <c r="Q21" s="55"/>
      <c r="R21" s="389" t="e">
        <f>MAX(0,'2023.06 to 2024.05 LC'!$F26-$Q$6)</f>
        <v>#VALUE!</v>
      </c>
    </row>
    <row r="22" spans="1:18" s="8" customFormat="1" ht="18">
      <c r="C22" s="26">
        <f>C21+1</f>
        <v>13</v>
      </c>
      <c r="D22" s="78" t="s">
        <v>37</v>
      </c>
      <c r="E22" s="22"/>
      <c r="F22" s="91"/>
      <c r="G22" s="91" t="e">
        <f ca="1">+(1+G21)*G17</f>
        <v>#VALUE!</v>
      </c>
      <c r="H22" s="91"/>
      <c r="I22" s="91">
        <f ca="1">+(1+I21)*I17</f>
        <v>4420123.6949204477</v>
      </c>
      <c r="J22" s="91"/>
      <c r="K22" s="91" t="e">
        <f ca="1">+I22+G22</f>
        <v>#VALUE!</v>
      </c>
      <c r="L22" s="105"/>
      <c r="M22" s="105"/>
      <c r="Q22" s="102"/>
      <c r="R22" s="389" t="e">
        <f>MAX(0,'2023.06 to 2024.05 LC'!$F27-$Q$6)</f>
        <v>#VALUE!</v>
      </c>
    </row>
    <row r="23" spans="1:18" ht="18">
      <c r="C23" s="26">
        <f>+C22+1</f>
        <v>14</v>
      </c>
      <c r="D23" s="14" t="s">
        <v>38</v>
      </c>
      <c r="E23" s="14"/>
      <c r="F23" s="96"/>
      <c r="G23" s="95">
        <f>-G16</f>
        <v>70000</v>
      </c>
      <c r="H23" s="96"/>
      <c r="I23" s="95">
        <v>0</v>
      </c>
      <c r="J23" s="96"/>
      <c r="K23" s="95">
        <f>+I23+G23</f>
        <v>70000</v>
      </c>
      <c r="L23" s="55"/>
      <c r="M23" s="55"/>
      <c r="R23" s="389" t="e">
        <f>MAX(0,'2023.06 to 2024.05 LC'!$F28-$Q$6)</f>
        <v>#VALUE!</v>
      </c>
    </row>
    <row r="24" spans="1:18" ht="18">
      <c r="C24" s="26">
        <f>C23+1</f>
        <v>15</v>
      </c>
      <c r="D24" s="78" t="s">
        <v>39</v>
      </c>
      <c r="E24" s="23"/>
      <c r="F24" s="92"/>
      <c r="G24" s="91" t="e">
        <f ca="1">+G23+G22</f>
        <v>#VALUE!</v>
      </c>
      <c r="H24" s="92"/>
      <c r="I24" s="91">
        <f ca="1">+I23+I22</f>
        <v>4420123.6949204477</v>
      </c>
      <c r="J24" s="92"/>
      <c r="K24" s="91" t="e">
        <f ca="1">+I24+G24+M24</f>
        <v>#VALUE!</v>
      </c>
      <c r="L24" s="55"/>
      <c r="M24" s="56"/>
      <c r="R24" s="389" t="e">
        <f>MAX(0,'2023.06 to 2024.05 LC'!$F29-$Q$6)</f>
        <v>#VALUE!</v>
      </c>
    </row>
    <row r="25" spans="1:18" ht="18">
      <c r="C25" s="87">
        <f>+C24+1</f>
        <v>16</v>
      </c>
      <c r="D25" s="88" t="s">
        <v>40</v>
      </c>
      <c r="E25" s="6"/>
      <c r="F25" s="98"/>
      <c r="G25" s="97" t="e">
        <f ca="1">+G24/G10</f>
        <v>#VALUE!</v>
      </c>
      <c r="H25" s="98"/>
      <c r="I25" s="97">
        <f ca="1">+I24/I10</f>
        <v>636.17209195746227</v>
      </c>
      <c r="J25" s="98"/>
      <c r="K25" s="97" t="e">
        <f ca="1">+K24/K10</f>
        <v>#VALUE!</v>
      </c>
      <c r="L25" s="55"/>
      <c r="M25" s="55"/>
      <c r="Q25" s="102"/>
      <c r="R25" s="389" t="e">
        <f>MAX(0,'2023.06 to 2024.05 LC'!$F30-$Q$6)</f>
        <v>#VALUE!</v>
      </c>
    </row>
    <row r="26" spans="1:18" ht="18">
      <c r="C26" s="87">
        <f>+C25+1</f>
        <v>17</v>
      </c>
      <c r="D26" s="89" t="s">
        <v>41</v>
      </c>
      <c r="E26" s="6"/>
      <c r="F26" s="103"/>
      <c r="G26" s="104"/>
      <c r="H26" s="103"/>
      <c r="I26" s="104" t="s">
        <v>20</v>
      </c>
      <c r="J26" s="103"/>
      <c r="K26" s="103">
        <v>1</v>
      </c>
      <c r="L26" s="55"/>
      <c r="M26" s="55"/>
      <c r="R26" s="389" t="e">
        <f>MAX(0,'2023.06 to 2024.05 LC'!$F31-$Q$6)</f>
        <v>#VALUE!</v>
      </c>
    </row>
    <row r="27" spans="1:18" ht="16.5" customHeight="1">
      <c r="C27" s="87">
        <f>+C26+1</f>
        <v>18</v>
      </c>
      <c r="D27" s="89" t="s">
        <v>42</v>
      </c>
      <c r="E27" s="6"/>
      <c r="F27" s="92"/>
      <c r="G27" s="91" t="s">
        <v>20</v>
      </c>
      <c r="H27" s="92"/>
      <c r="I27" s="91"/>
      <c r="J27" s="92"/>
      <c r="K27" s="97" t="e">
        <f ca="1">+(K26*K25)</f>
        <v>#VALUE!</v>
      </c>
      <c r="L27" s="55"/>
      <c r="M27" s="55"/>
      <c r="R27" s="389" t="e">
        <f>MAX(0,'2023.06 to 2024.05 LC'!$F32-$Q$6)</f>
        <v>#VALUE!</v>
      </c>
    </row>
    <row r="28" spans="1:18" s="12" customFormat="1" ht="9" customHeight="1">
      <c r="C28" s="79"/>
      <c r="D28" s="80"/>
      <c r="E28" s="81"/>
      <c r="F28" s="94"/>
      <c r="G28" s="93"/>
      <c r="H28" s="94"/>
      <c r="I28" s="93"/>
      <c r="J28" s="94"/>
      <c r="K28" s="93"/>
      <c r="L28" s="99"/>
      <c r="M28" s="99"/>
      <c r="Q28" s="102"/>
      <c r="R28" s="389" t="e">
        <f>MAX(0,'2023.06 to 2024.05 LC'!$F33-$Q$6)</f>
        <v>#VALUE!</v>
      </c>
    </row>
    <row r="29" spans="1:18" ht="20.25">
      <c r="A29" s="11" t="e">
        <f>#REF!</f>
        <v>#REF!</v>
      </c>
      <c r="B29" s="11"/>
      <c r="C29" s="68"/>
      <c r="D29" s="69" t="s">
        <v>43</v>
      </c>
      <c r="E29" s="70"/>
      <c r="F29" s="90"/>
      <c r="G29" s="90"/>
      <c r="H29" s="90"/>
      <c r="I29" s="90"/>
      <c r="J29" s="90"/>
      <c r="K29" s="73"/>
      <c r="L29" s="55"/>
      <c r="M29" s="55"/>
      <c r="R29" s="389" t="e">
        <f>MAX(0,'2023.06 to 2024.05 LC'!$F34-$Q$6)</f>
        <v>#VALUE!</v>
      </c>
    </row>
    <row r="30" spans="1:18" s="8" customFormat="1" ht="18">
      <c r="A30" s="11" t="e">
        <f>#REF!</f>
        <v>#REF!</v>
      </c>
      <c r="B30" s="11"/>
      <c r="C30" s="26">
        <f>+C27+1</f>
        <v>19</v>
      </c>
      <c r="D30" s="13" t="s">
        <v>44</v>
      </c>
      <c r="E30" s="22"/>
      <c r="F30" s="59"/>
      <c r="G30" s="59">
        <f>34.39</f>
        <v>34.39</v>
      </c>
      <c r="H30" s="106"/>
      <c r="I30" s="59">
        <f>5.19*1.05</f>
        <v>5.4495000000000005</v>
      </c>
      <c r="J30" s="59"/>
      <c r="K30" s="59">
        <f t="shared" ref="K30:K35" si="0">SUM(G30:I30)</f>
        <v>39.839500000000001</v>
      </c>
      <c r="L30" s="105"/>
      <c r="M30" s="105"/>
      <c r="Q30" s="55"/>
      <c r="R30" s="389" t="e">
        <f>MAX(0,'2023.06 to 2024.05 LC'!$F35-$Q$6)</f>
        <v>#VALUE!</v>
      </c>
    </row>
    <row r="31" spans="1:18" s="8" customFormat="1" ht="18">
      <c r="A31" s="11"/>
      <c r="B31" s="11"/>
      <c r="C31" s="26">
        <f>+C30+1</f>
        <v>20</v>
      </c>
      <c r="D31" s="13" t="s">
        <v>45</v>
      </c>
      <c r="E31" s="22"/>
      <c r="F31" s="59"/>
      <c r="G31" s="60">
        <v>10</v>
      </c>
      <c r="H31" s="309"/>
      <c r="I31" s="60" t="s">
        <v>46</v>
      </c>
      <c r="J31" s="60"/>
      <c r="K31" s="60">
        <f t="shared" si="0"/>
        <v>10</v>
      </c>
      <c r="L31" s="105"/>
      <c r="M31" s="105"/>
      <c r="Q31" s="55"/>
      <c r="R31" s="389" t="e">
        <f>MAX(0,'2023.06 to 2024.05 LC'!$F36-$Q$6)</f>
        <v>#VALUE!</v>
      </c>
    </row>
    <row r="32" spans="1:18" s="8" customFormat="1" ht="18">
      <c r="A32" s="11"/>
      <c r="B32" s="11"/>
      <c r="C32" s="26">
        <f>+C31+1</f>
        <v>21</v>
      </c>
      <c r="D32" s="13" t="s">
        <v>47</v>
      </c>
      <c r="E32" s="22"/>
      <c r="F32" s="59"/>
      <c r="G32" s="60">
        <f>3.75+0.45+1.35+1</f>
        <v>6.5500000000000007</v>
      </c>
      <c r="H32" s="309"/>
      <c r="I32" s="60" t="s">
        <v>46</v>
      </c>
      <c r="J32" s="60"/>
      <c r="K32" s="60">
        <f t="shared" si="0"/>
        <v>6.5500000000000007</v>
      </c>
      <c r="L32" s="105"/>
      <c r="M32" s="105"/>
      <c r="Q32" s="55"/>
      <c r="R32" s="389" t="e">
        <f>MAX(0,'2023.06 to 2024.05 LC'!$F37-$Q$6)</f>
        <v>#VALUE!</v>
      </c>
    </row>
    <row r="33" spans="1:18" s="8" customFormat="1" ht="18">
      <c r="A33" s="11"/>
      <c r="B33" s="11"/>
      <c r="C33" s="26">
        <f>+C32+1</f>
        <v>22</v>
      </c>
      <c r="D33" s="13" t="s">
        <v>48</v>
      </c>
      <c r="E33" s="22"/>
      <c r="F33" s="59"/>
      <c r="G33" s="60">
        <v>15.17</v>
      </c>
      <c r="H33" s="309"/>
      <c r="I33" s="60" t="s">
        <v>46</v>
      </c>
      <c r="J33" s="60"/>
      <c r="K33" s="60">
        <f t="shared" si="0"/>
        <v>15.17</v>
      </c>
      <c r="L33" s="105"/>
      <c r="M33" s="105"/>
      <c r="Q33" s="55"/>
      <c r="R33" s="389" t="e">
        <f>MAX(0,'2023.06 to 2024.05 LC'!$F38-$Q$6)</f>
        <v>#VALUE!</v>
      </c>
    </row>
    <row r="34" spans="1:18" s="8" customFormat="1" ht="18">
      <c r="A34" s="11"/>
      <c r="B34" s="11"/>
      <c r="C34" s="26">
        <f>+C33+1</f>
        <v>23</v>
      </c>
      <c r="D34" s="15" t="s">
        <v>49</v>
      </c>
      <c r="E34" s="22"/>
      <c r="F34" s="91"/>
      <c r="G34" s="60" t="s">
        <v>46</v>
      </c>
      <c r="H34" s="309"/>
      <c r="I34" s="60">
        <f>-45.29*1.05</f>
        <v>-47.554500000000004</v>
      </c>
      <c r="J34" s="60"/>
      <c r="K34" s="60">
        <f t="shared" si="0"/>
        <v>-47.554500000000004</v>
      </c>
      <c r="L34" s="105"/>
      <c r="M34" s="105"/>
      <c r="Q34" s="102"/>
      <c r="R34" s="389" t="e">
        <f>MAX(0,'2023.06 to 2024.05 LC'!$F39-$Q$6)</f>
        <v>#VALUE!</v>
      </c>
    </row>
    <row r="35" spans="1:18" ht="18">
      <c r="A35" s="11"/>
      <c r="B35" s="11"/>
      <c r="C35" s="26">
        <f>C34+1</f>
        <v>24</v>
      </c>
      <c r="D35" s="22" t="str">
        <f>TEXT(P6,"$#,##0")&amp;" - "&amp;TEXT(Q6,"$#,##0") &amp;"    "&amp;TEXT(P7,"$#,##0")&amp;" - "&amp;TEXT(Q7,"$#,##0")</f>
        <v>Specific Stop-Loss - $200,000    Aggregating Specific - $70,000</v>
      </c>
      <c r="E35" s="22"/>
      <c r="F35" s="107"/>
      <c r="G35" s="108">
        <v>109.62779406365728</v>
      </c>
      <c r="H35" s="109"/>
      <c r="I35" s="108" t="s">
        <v>46</v>
      </c>
      <c r="J35" s="108"/>
      <c r="K35" s="108">
        <f t="shared" si="0"/>
        <v>109.62779406365728</v>
      </c>
      <c r="L35" s="55"/>
      <c r="M35" s="55"/>
      <c r="R35" s="389" t="e">
        <f>MAX(0,'2023.06 to 2024.05 LC'!$F41-$Q$6)</f>
        <v>#VALUE!</v>
      </c>
    </row>
    <row r="36" spans="1:18" s="5" customFormat="1" ht="17.45" customHeight="1">
      <c r="B36" s="9"/>
      <c r="C36" s="26">
        <f>+C35+1</f>
        <v>25</v>
      </c>
      <c r="D36" s="23" t="s">
        <v>50</v>
      </c>
      <c r="E36" s="82"/>
      <c r="F36" s="57"/>
      <c r="G36" s="97">
        <f>SUM(G30:G35)</f>
        <v>175.73779406365728</v>
      </c>
      <c r="H36" s="110"/>
      <c r="I36" s="97">
        <f>SUM(I30:I35)</f>
        <v>-42.105000000000004</v>
      </c>
      <c r="J36" s="110"/>
      <c r="K36" s="97">
        <f>SUM(K30:K35)</f>
        <v>133.63279406365729</v>
      </c>
      <c r="L36" s="111"/>
      <c r="M36" s="306"/>
      <c r="N36" s="307"/>
      <c r="Q36" s="55"/>
      <c r="R36" s="389" t="e">
        <f>MAX(0,'2023.06 to 2024.05 LC'!$F42-$Q$6)</f>
        <v>#VALUE!</v>
      </c>
    </row>
    <row r="37" spans="1:18" ht="9" customHeight="1">
      <c r="C37" s="26"/>
      <c r="D37" s="24"/>
      <c r="E37" s="28"/>
      <c r="F37" s="58"/>
      <c r="G37" s="112"/>
      <c r="H37" s="112"/>
      <c r="I37" s="112"/>
      <c r="J37" s="112"/>
      <c r="K37" s="112"/>
      <c r="L37" s="113"/>
      <c r="M37" s="55"/>
      <c r="R37" s="389"/>
    </row>
    <row r="38" spans="1:18" ht="20.85" customHeight="1">
      <c r="C38" s="68">
        <f>C36+1</f>
        <v>26</v>
      </c>
      <c r="D38" s="69" t="s">
        <v>51</v>
      </c>
      <c r="E38" s="86"/>
      <c r="F38" s="115"/>
      <c r="G38" s="114" t="e">
        <f ca="1">+G36+G25</f>
        <v>#VALUE!</v>
      </c>
      <c r="H38" s="115"/>
      <c r="I38" s="114">
        <f ca="1">+I36+I25</f>
        <v>594.06709195746225</v>
      </c>
      <c r="J38" s="115"/>
      <c r="K38" s="114" t="e">
        <f ca="1">+K36+K27</f>
        <v>#VALUE!</v>
      </c>
      <c r="L38" s="113"/>
      <c r="M38" s="55"/>
      <c r="Q38" s="102"/>
      <c r="R38" s="389"/>
    </row>
    <row r="39" spans="1:18" ht="9" customHeight="1">
      <c r="C39" s="26"/>
      <c r="D39" s="28"/>
      <c r="E39" s="28"/>
      <c r="F39" s="58"/>
      <c r="G39" s="112"/>
      <c r="H39" s="112"/>
      <c r="I39" s="112"/>
      <c r="J39" s="112"/>
      <c r="K39" s="112"/>
      <c r="L39" s="113"/>
      <c r="M39" s="55"/>
      <c r="R39" s="389"/>
    </row>
    <row r="40" spans="1:18" ht="17.45" customHeight="1">
      <c r="C40" s="26">
        <f>+C38+1</f>
        <v>27</v>
      </c>
      <c r="D40" s="23" t="s">
        <v>52</v>
      </c>
      <c r="E40" s="14"/>
      <c r="F40" s="116"/>
      <c r="G40" s="117"/>
      <c r="H40" s="117"/>
      <c r="I40" s="117"/>
      <c r="J40" s="117"/>
      <c r="K40" s="61">
        <f ca="1">(SUM(OFFSET('Medical &amp; Rx Total'!$C$7,COUNT('Medical &amp; Rx Total'!$C$8:$C$30),0,-1)))/(SUM(OFFSET('Medical &amp; Rx Total'!$B$7,COUNT('Medical &amp; Rx Total'!$B$8:$B$30),0,-1)))</f>
        <v>1838.9992140468228</v>
      </c>
      <c r="L40" s="118"/>
      <c r="M40" s="55"/>
      <c r="R40" s="389"/>
    </row>
    <row r="41" spans="1:18" ht="9" customHeight="1">
      <c r="C41" s="26"/>
      <c r="D41" s="28"/>
      <c r="E41" s="28"/>
      <c r="F41" s="58"/>
      <c r="G41" s="58"/>
      <c r="H41" s="58"/>
      <c r="I41" s="58"/>
      <c r="J41" s="58"/>
      <c r="K41" s="58"/>
      <c r="L41" s="113"/>
      <c r="M41" s="55"/>
      <c r="Q41" s="102"/>
      <c r="R41" s="389" t="e">
        <f>MAX(0,'2023.06 to 2024.05 LC'!$F47-$Q$6)</f>
        <v>#VALUE!</v>
      </c>
    </row>
    <row r="42" spans="1:18" ht="20.85" customHeight="1">
      <c r="C42" s="26"/>
      <c r="D42" s="24" t="s">
        <v>53</v>
      </c>
      <c r="E42" s="28"/>
      <c r="F42" s="58"/>
      <c r="G42" s="58"/>
      <c r="H42" s="58"/>
      <c r="I42" s="58"/>
      <c r="J42" s="58"/>
      <c r="K42" s="58" t="s">
        <v>20</v>
      </c>
      <c r="L42" s="113"/>
      <c r="M42" s="55"/>
      <c r="R42" s="389" t="e">
        <f>MAX(0,'2023.06 to 2024.05 LC'!$F48-$Q$6)</f>
        <v>#VALUE!</v>
      </c>
    </row>
    <row r="43" spans="1:18" s="31" customFormat="1" ht="17.45" customHeight="1">
      <c r="C43" s="68">
        <f>+C40+1</f>
        <v>28</v>
      </c>
      <c r="D43" s="69" t="s">
        <v>54</v>
      </c>
      <c r="E43" s="86"/>
      <c r="F43" s="115"/>
      <c r="G43" s="114" t="s">
        <v>20</v>
      </c>
      <c r="H43" s="115"/>
      <c r="I43" s="114"/>
      <c r="J43" s="115"/>
      <c r="K43" s="297" t="e">
        <f ca="1">+K38/K40-1</f>
        <v>#VALUE!</v>
      </c>
      <c r="L43" s="119"/>
      <c r="M43" s="119"/>
      <c r="Q43" s="55"/>
      <c r="R43" s="389" t="e">
        <f>MAX(0,'2023.06 to 2024.05 LC'!$F49-$Q$6)</f>
        <v>#VALUE!</v>
      </c>
    </row>
    <row r="44" spans="1:18" s="16" customFormat="1" ht="17.45" customHeight="1">
      <c r="C44" s="26">
        <f>+C43+1</f>
        <v>29</v>
      </c>
      <c r="D44" s="14" t="s">
        <v>55</v>
      </c>
      <c r="E44" s="14"/>
      <c r="F44" s="30"/>
      <c r="G44" s="120"/>
      <c r="H44" s="30"/>
      <c r="I44" s="120"/>
      <c r="J44" s="30"/>
      <c r="K44" s="120" t="e">
        <f ca="1">+((K27*1.015)+$K$36)/$K$40-1</f>
        <v>#VALUE!</v>
      </c>
      <c r="L44" s="49"/>
      <c r="M44" s="49"/>
      <c r="Q44" s="102"/>
      <c r="R44" s="389" t="e">
        <f>MAX(0,'2023.06 to 2024.05 LC'!$F50-$Q$6)</f>
        <v>#VALUE!</v>
      </c>
    </row>
    <row r="45" spans="1:18" s="16" customFormat="1" ht="17.45" customHeight="1">
      <c r="C45" s="26">
        <f>+C44+1</f>
        <v>30</v>
      </c>
      <c r="D45" s="14" t="s">
        <v>56</v>
      </c>
      <c r="E45" s="14"/>
      <c r="F45" s="30"/>
      <c r="G45" s="120"/>
      <c r="H45" s="30"/>
      <c r="I45" s="120"/>
      <c r="J45" s="30"/>
      <c r="K45" s="120" t="e">
        <f ca="1">+((K27*1.03)+$K$36)/$K$40-1</f>
        <v>#VALUE!</v>
      </c>
      <c r="L45" s="49"/>
      <c r="M45" s="49"/>
      <c r="Q45" s="55"/>
      <c r="R45" s="389" t="e">
        <f>MAX(0,'2023.06 to 2024.05 LC'!$F51-$Q$6)</f>
        <v>#VALUE!</v>
      </c>
    </row>
    <row r="46" spans="1:18" s="16" customFormat="1" ht="17.45" customHeight="1">
      <c r="C46" s="26">
        <f>+C45+1</f>
        <v>31</v>
      </c>
      <c r="D46" s="14" t="s">
        <v>57</v>
      </c>
      <c r="E46" s="14"/>
      <c r="F46" s="30"/>
      <c r="G46" s="30"/>
      <c r="H46" s="30"/>
      <c r="I46" s="30"/>
      <c r="J46" s="30"/>
      <c r="K46" s="120" t="e">
        <f ca="1">+((K27*1.05)+$K$36)/$K$40-1</f>
        <v>#VALUE!</v>
      </c>
      <c r="L46" s="49"/>
      <c r="M46" s="49"/>
      <c r="Q46" s="55"/>
      <c r="R46" s="389" t="e">
        <f>MAX(0,'2023.06 to 2024.05 LC'!$F52-$Q$6)</f>
        <v>#VALUE!</v>
      </c>
    </row>
    <row r="47" spans="1:18" hidden="1">
      <c r="C47" s="83">
        <f>+C46+1</f>
        <v>32</v>
      </c>
      <c r="D47" s="84" t="s">
        <v>58</v>
      </c>
      <c r="E47" s="84"/>
      <c r="F47" s="121"/>
      <c r="G47" s="121"/>
      <c r="H47" s="121"/>
      <c r="I47" s="121"/>
      <c r="J47" s="121"/>
      <c r="K47" s="122" t="e">
        <f ca="1">+K44</f>
        <v>#VALUE!</v>
      </c>
      <c r="L47" s="55"/>
      <c r="M47" s="55"/>
      <c r="Q47" s="102"/>
      <c r="R47" s="389" t="e">
        <f>MAX(0,'2023.06 to 2024.05 LC'!$F53-$Q$6)</f>
        <v>#VALUE!</v>
      </c>
    </row>
    <row r="48" spans="1:18">
      <c r="C48" s="85"/>
      <c r="F48" s="55"/>
      <c r="G48" s="55"/>
      <c r="H48" s="55"/>
      <c r="I48" s="55"/>
      <c r="J48" s="55"/>
      <c r="K48" s="55" t="s">
        <v>20</v>
      </c>
      <c r="L48" s="55"/>
      <c r="M48" s="55"/>
      <c r="R48" s="389" t="e">
        <f>MAX(0,'2023.06 to 2024.05 LC'!$F54-$Q$6)</f>
        <v>#VALUE!</v>
      </c>
    </row>
    <row r="49" spans="3:18">
      <c r="C49" s="85" t="s">
        <v>59</v>
      </c>
      <c r="F49" s="55"/>
      <c r="G49" s="55"/>
      <c r="H49" s="55"/>
      <c r="I49" s="55"/>
      <c r="J49" s="55"/>
      <c r="K49" s="123"/>
      <c r="L49" s="55"/>
      <c r="M49" s="55"/>
      <c r="R49" s="389" t="e">
        <f>MAX(0,'2023.06 to 2024.05 LC'!$F55-$Q$6)</f>
        <v>#VALUE!</v>
      </c>
    </row>
    <row r="50" spans="3:18">
      <c r="C50" s="85"/>
      <c r="F50" s="55"/>
      <c r="G50" s="55"/>
      <c r="H50" s="55"/>
      <c r="I50" s="55"/>
      <c r="J50" s="55"/>
      <c r="K50" s="124"/>
      <c r="L50" s="55"/>
      <c r="M50" s="55"/>
      <c r="Q50" s="102"/>
      <c r="R50" s="389" t="e">
        <f>MAX(0,'2023.06 to 2024.05 LC'!$F56-$Q$6)</f>
        <v>#VALUE!</v>
      </c>
    </row>
    <row r="51" spans="3:18">
      <c r="F51" s="55"/>
      <c r="G51" s="55"/>
      <c r="H51" s="55"/>
      <c r="I51" s="55"/>
      <c r="J51" s="55"/>
      <c r="K51" s="55"/>
      <c r="L51" s="55"/>
      <c r="M51" s="55"/>
      <c r="R51" s="389" t="e">
        <f>MAX(0,'2023.06 to 2024.05 LC'!$F57-$Q$6)</f>
        <v>#VALUE!</v>
      </c>
    </row>
    <row r="52" spans="3:18">
      <c r="F52" s="55"/>
      <c r="G52" s="55"/>
      <c r="H52" s="55"/>
      <c r="I52" s="55"/>
      <c r="J52" s="55"/>
      <c r="K52" s="55"/>
      <c r="L52" s="55"/>
      <c r="M52" s="55"/>
      <c r="R52" s="389" t="e">
        <f>MAX(0,'2023.06 to 2024.05 LC'!$F58-$Q$6)</f>
        <v>#VALUE!</v>
      </c>
    </row>
    <row r="53" spans="3:18">
      <c r="F53" s="55"/>
      <c r="G53" s="55"/>
      <c r="H53" s="55"/>
      <c r="I53" s="55"/>
      <c r="J53" s="55"/>
      <c r="K53" s="55"/>
      <c r="L53" s="55"/>
      <c r="M53" s="55"/>
      <c r="Q53" s="102"/>
      <c r="R53" s="389" t="e">
        <f>MAX(0,'2023.06 to 2024.05 LC'!$F59-$Q$6)</f>
        <v>#VALUE!</v>
      </c>
    </row>
    <row r="54" spans="3:18">
      <c r="F54" s="55"/>
      <c r="G54" s="55"/>
      <c r="H54" s="55"/>
      <c r="I54" s="55"/>
      <c r="J54" s="55"/>
      <c r="K54" s="55"/>
      <c r="L54" s="55"/>
      <c r="M54" s="55"/>
      <c r="R54" s="389" t="e">
        <f>MAX(0,'2023.06 to 2024.05 LC'!$F60-$Q$6)</f>
        <v>#VALUE!</v>
      </c>
    </row>
    <row r="55" spans="3:18">
      <c r="F55" s="55"/>
      <c r="G55" s="55"/>
      <c r="H55" s="55"/>
      <c r="I55" s="55"/>
      <c r="J55" s="55"/>
      <c r="K55" s="55"/>
      <c r="L55" s="55"/>
      <c r="M55" s="55"/>
      <c r="R55" s="389" t="e">
        <f>MAX(0,'2023.06 to 2024.05 LC'!$F61-$Q$6)</f>
        <v>#VALUE!</v>
      </c>
    </row>
    <row r="56" spans="3:18">
      <c r="F56" s="55"/>
      <c r="G56" s="55"/>
      <c r="H56" s="55"/>
      <c r="I56" s="55"/>
      <c r="J56" s="55"/>
      <c r="K56" s="55"/>
      <c r="L56" s="55"/>
      <c r="M56" s="55"/>
      <c r="Q56" s="102"/>
      <c r="R56" s="389" t="e">
        <f>MAX(0,'2023.06 to 2024.05 LC'!$F62-$Q$6)</f>
        <v>#VALUE!</v>
      </c>
    </row>
    <row r="57" spans="3:18">
      <c r="F57" s="55"/>
      <c r="G57" s="55"/>
      <c r="H57" s="55"/>
      <c r="I57" s="55"/>
      <c r="J57" s="55"/>
      <c r="K57" s="55"/>
      <c r="L57" s="55"/>
      <c r="M57" s="55"/>
      <c r="R57" s="389" t="e">
        <f>MAX(0,'2023.06 to 2024.05 LC'!$F63-$Q$6)</f>
        <v>#VALUE!</v>
      </c>
    </row>
    <row r="58" spans="3:18">
      <c r="F58" s="55"/>
      <c r="G58" s="55"/>
      <c r="H58" s="55"/>
      <c r="I58" s="55"/>
      <c r="J58" s="55"/>
      <c r="K58" s="55"/>
      <c r="L58" s="55"/>
      <c r="M58" s="55"/>
      <c r="R58" s="389" t="e">
        <f>MAX(0,'2023.06 to 2024.05 LC'!$F64-$Q$6)</f>
        <v>#VALUE!</v>
      </c>
    </row>
    <row r="59" spans="3:18">
      <c r="F59" s="55"/>
      <c r="G59" s="55"/>
      <c r="H59" s="55"/>
      <c r="I59" s="99"/>
      <c r="J59" s="99"/>
      <c r="K59" s="55"/>
      <c r="L59" s="55"/>
      <c r="M59" s="55"/>
      <c r="Q59" s="102"/>
      <c r="R59" s="389" t="e">
        <f>MAX(0,'2023.06 to 2024.05 LC'!$F65-$Q$6)</f>
        <v>#VALUE!</v>
      </c>
    </row>
    <row r="60" spans="3:18">
      <c r="F60" s="55"/>
      <c r="G60" s="55"/>
      <c r="H60" s="55"/>
      <c r="I60" s="99"/>
      <c r="J60" s="99"/>
      <c r="K60" s="55"/>
      <c r="L60" s="55"/>
      <c r="M60" s="55"/>
      <c r="R60" s="389" t="e">
        <f>MAX(0,'2023.06 to 2024.05 LC'!$F66-$Q$6)</f>
        <v>#VALUE!</v>
      </c>
    </row>
    <row r="61" spans="3:18">
      <c r="F61" s="55"/>
      <c r="G61" s="55"/>
      <c r="H61" s="55"/>
      <c r="I61" s="99"/>
      <c r="J61" s="99"/>
      <c r="K61" s="55"/>
      <c r="L61" s="55"/>
      <c r="M61" s="55"/>
      <c r="R61" s="389" t="e">
        <f>MAX(0,'2023.06 to 2024.05 LC'!$F67-$Q$6)</f>
        <v>#VALUE!</v>
      </c>
    </row>
    <row r="62" spans="3:18">
      <c r="F62" s="55"/>
      <c r="G62" s="55"/>
      <c r="H62" s="55"/>
      <c r="I62" s="55"/>
      <c r="J62" s="55"/>
      <c r="K62" s="55"/>
      <c r="L62" s="55"/>
      <c r="M62" s="55"/>
      <c r="Q62" s="102"/>
      <c r="R62" s="389" t="e">
        <f>MAX(0,'2023.06 to 2024.05 LC'!$F68-$Q$6)</f>
        <v>#VALUE!</v>
      </c>
    </row>
    <row r="63" spans="3:18">
      <c r="F63" s="55"/>
      <c r="G63" s="55"/>
      <c r="H63" s="55"/>
      <c r="I63" s="55"/>
      <c r="J63" s="55"/>
      <c r="K63" s="55"/>
      <c r="L63" s="55"/>
      <c r="M63" s="55"/>
      <c r="R63" s="389" t="e">
        <f>MAX(0,'2023.06 to 2024.05 LC'!$F69-$Q$6)</f>
        <v>#VALUE!</v>
      </c>
    </row>
    <row r="64" spans="3:18">
      <c r="F64" s="55"/>
      <c r="G64" s="55"/>
      <c r="H64" s="55"/>
      <c r="I64" s="55"/>
      <c r="J64" s="55"/>
      <c r="K64" s="99"/>
      <c r="L64" s="55"/>
      <c r="M64" s="55"/>
      <c r="R64" s="389" t="e">
        <f>MAX(0,'2023.06 to 2024.05 LC'!$F70-$Q$6)</f>
        <v>#VALUE!</v>
      </c>
    </row>
    <row r="65" spans="6:18">
      <c r="F65" s="55"/>
      <c r="G65" s="55"/>
      <c r="H65" s="55"/>
      <c r="I65" s="55"/>
      <c r="J65" s="55"/>
      <c r="K65" s="55"/>
      <c r="L65" s="55"/>
      <c r="M65" s="55"/>
      <c r="Q65" s="102"/>
      <c r="R65" s="389" t="e">
        <f>MAX(0,'2023.06 to 2024.05 LC'!$F71-$Q$6)</f>
        <v>#VALUE!</v>
      </c>
    </row>
    <row r="66" spans="6:18">
      <c r="F66" s="55"/>
      <c r="G66" s="55"/>
      <c r="H66" s="55"/>
      <c r="I66" s="55"/>
      <c r="J66" s="55"/>
      <c r="K66" s="55"/>
      <c r="L66" s="55"/>
      <c r="M66" s="55"/>
      <c r="R66" s="389" t="e">
        <f>MAX(0,'2023.06 to 2024.05 LC'!$F72-$Q$6)</f>
        <v>#VALUE!</v>
      </c>
    </row>
    <row r="67" spans="6:18">
      <c r="F67" s="55"/>
      <c r="G67" s="55"/>
      <c r="H67" s="55"/>
      <c r="I67" s="55"/>
      <c r="J67" s="55"/>
      <c r="K67" s="55"/>
      <c r="L67" s="55"/>
      <c r="M67" s="55"/>
      <c r="R67" s="389" t="e">
        <f>MAX(0,'2023.06 to 2024.05 LC'!$F73-$Q$6)</f>
        <v>#VALUE!</v>
      </c>
    </row>
    <row r="68" spans="6:18">
      <c r="F68" s="55"/>
      <c r="G68" s="55"/>
      <c r="H68" s="55"/>
      <c r="I68" s="55"/>
      <c r="J68" s="55"/>
      <c r="K68" s="55"/>
      <c r="L68" s="55"/>
      <c r="M68" s="55"/>
      <c r="Q68" s="102"/>
      <c r="R68" s="389" t="e">
        <f>MAX(0,'2023.06 to 2024.05 LC'!$F74-$Q$6)</f>
        <v>#VALUE!</v>
      </c>
    </row>
    <row r="69" spans="6:18">
      <c r="F69" s="55"/>
      <c r="G69" s="55"/>
      <c r="H69" s="55"/>
      <c r="I69" s="55"/>
      <c r="J69" s="55"/>
      <c r="K69" s="55"/>
      <c r="L69" s="55"/>
      <c r="M69" s="55"/>
      <c r="R69" s="389" t="e">
        <f>MAX(0,'2023.06 to 2024.05 LC'!$F75-$Q$6)</f>
        <v>#VALUE!</v>
      </c>
    </row>
    <row r="70" spans="6:18">
      <c r="F70" s="55"/>
      <c r="G70" s="55"/>
      <c r="H70" s="55"/>
      <c r="I70" s="55"/>
      <c r="J70" s="55"/>
      <c r="K70" s="55"/>
      <c r="L70" s="55"/>
      <c r="M70" s="55"/>
      <c r="R70" s="389" t="e">
        <f>MAX(0,'2023.06 to 2024.05 LC'!$F76-$Q$6)</f>
        <v>#VALUE!</v>
      </c>
    </row>
    <row r="71" spans="6:18">
      <c r="F71" s="55"/>
      <c r="G71" s="55"/>
      <c r="H71" s="55"/>
      <c r="I71" s="55"/>
      <c r="J71" s="55"/>
      <c r="K71" s="55"/>
      <c r="L71" s="55"/>
      <c r="M71" s="55"/>
      <c r="Q71" s="102"/>
      <c r="R71" s="389" t="e">
        <f>MAX(0,'2023.06 to 2024.05 LC'!$F77-$Q$6)</f>
        <v>#VALUE!</v>
      </c>
    </row>
    <row r="72" spans="6:18">
      <c r="F72" s="55"/>
      <c r="G72" s="55"/>
      <c r="H72" s="55"/>
      <c r="I72" s="55"/>
      <c r="J72" s="55"/>
      <c r="K72" s="55"/>
      <c r="L72" s="55"/>
      <c r="M72" s="55"/>
      <c r="R72" s="389" t="e">
        <f>MAX(0,'2023.06 to 2024.05 LC'!$F78-$Q$6)</f>
        <v>#VALUE!</v>
      </c>
    </row>
    <row r="73" spans="6:18">
      <c r="F73" s="55"/>
      <c r="G73" s="55"/>
      <c r="H73" s="55"/>
      <c r="I73" s="55"/>
      <c r="J73" s="55"/>
      <c r="K73" s="55"/>
      <c r="L73" s="55"/>
      <c r="M73" s="55"/>
      <c r="R73" s="389" t="e">
        <f>MAX(0,'2023.06 to 2024.05 LC'!$F79-$Q$6)</f>
        <v>#VALUE!</v>
      </c>
    </row>
    <row r="74" spans="6:18">
      <c r="F74" s="55"/>
      <c r="G74" s="55"/>
      <c r="H74" s="55"/>
      <c r="I74" s="55"/>
      <c r="J74" s="55"/>
      <c r="K74" s="55"/>
      <c r="L74" s="55"/>
      <c r="M74" s="55"/>
      <c r="Q74" s="102"/>
      <c r="R74" s="389" t="e">
        <f>MAX(0,'2023.06 to 2024.05 LC'!$F80-$Q$6)</f>
        <v>#VALUE!</v>
      </c>
    </row>
    <row r="75" spans="6:18">
      <c r="F75" s="55"/>
      <c r="G75" s="55"/>
      <c r="H75" s="55"/>
      <c r="I75" s="55"/>
      <c r="J75" s="55"/>
      <c r="K75" s="55"/>
      <c r="L75" s="55"/>
      <c r="M75" s="55"/>
      <c r="R75" s="389" t="e">
        <f>MAX(0,'2023.06 to 2024.05 LC'!$F81-$Q$6)</f>
        <v>#VALUE!</v>
      </c>
    </row>
    <row r="76" spans="6:18">
      <c r="F76" s="55"/>
      <c r="G76" s="55"/>
      <c r="H76" s="55"/>
      <c r="I76" s="55"/>
      <c r="J76" s="55"/>
      <c r="K76" s="55"/>
      <c r="L76" s="55"/>
      <c r="M76" s="55"/>
      <c r="R76" s="389" t="e">
        <f>MAX(0,'2023.06 to 2024.05 LC'!$F82-$Q$6)</f>
        <v>#VALUE!</v>
      </c>
    </row>
    <row r="77" spans="6:18">
      <c r="F77" s="55"/>
      <c r="G77" s="55"/>
      <c r="H77" s="55"/>
      <c r="I77" s="55"/>
      <c r="J77" s="55"/>
      <c r="K77" s="55"/>
      <c r="L77" s="55"/>
      <c r="M77" s="55"/>
      <c r="Q77" s="102"/>
      <c r="R77" s="389" t="e">
        <f>MAX(0,'2023.06 to 2024.05 LC'!$F83-$Q$6)</f>
        <v>#VALUE!</v>
      </c>
    </row>
    <row r="78" spans="6:18">
      <c r="F78" s="55"/>
      <c r="G78" s="55"/>
      <c r="H78" s="55"/>
      <c r="I78" s="55"/>
      <c r="J78" s="55"/>
      <c r="K78" s="55"/>
      <c r="L78" s="55"/>
      <c r="M78" s="55"/>
      <c r="R78" s="389" t="e">
        <f>MAX(0,'2023.06 to 2024.05 LC'!$F84-$Q$6)</f>
        <v>#VALUE!</v>
      </c>
    </row>
    <row r="79" spans="6:18">
      <c r="F79" s="55"/>
      <c r="G79" s="55"/>
      <c r="H79" s="55"/>
      <c r="I79" s="55"/>
      <c r="J79" s="55"/>
      <c r="K79" s="55"/>
      <c r="L79" s="55"/>
      <c r="M79" s="55"/>
      <c r="R79" s="389" t="e">
        <f>MAX(0,'2023.06 to 2024.05 LC'!$F85-$Q$6)</f>
        <v>#VALUE!</v>
      </c>
    </row>
    <row r="80" spans="6:18">
      <c r="F80" s="55"/>
      <c r="G80" s="55"/>
      <c r="H80" s="55"/>
      <c r="I80" s="55"/>
      <c r="J80" s="55"/>
      <c r="K80" s="55"/>
      <c r="L80" s="55"/>
      <c r="M80" s="55"/>
      <c r="Q80" s="102"/>
      <c r="R80" s="389" t="e">
        <f>MAX(0,'2023.06 to 2024.05 LC'!$F86-$Q$6)</f>
        <v>#VALUE!</v>
      </c>
    </row>
    <row r="81" spans="6:18">
      <c r="F81" s="55"/>
      <c r="G81" s="55"/>
      <c r="H81" s="55"/>
      <c r="I81" s="55"/>
      <c r="J81" s="55"/>
      <c r="K81" s="55"/>
      <c r="L81" s="55"/>
      <c r="M81" s="55"/>
      <c r="R81" s="389" t="e">
        <f>MAX(0,'2023.06 to 2024.05 LC'!$F87-$Q$6)</f>
        <v>#VALUE!</v>
      </c>
    </row>
    <row r="82" spans="6:18">
      <c r="H82" s="2"/>
      <c r="R82" s="389" t="e">
        <f>MAX(0,'2023.06 to 2024.05 LC'!$F88-$Q$6)</f>
        <v>#VALUE!</v>
      </c>
    </row>
    <row r="83" spans="6:18">
      <c r="H83" s="2"/>
      <c r="Q83" s="102"/>
      <c r="R83" s="389" t="e">
        <f>MAX(0,'2023.06 to 2024.05 LC'!$F89-$Q$6)</f>
        <v>#VALUE!</v>
      </c>
    </row>
    <row r="84" spans="6:18">
      <c r="H84" s="2"/>
      <c r="R84" s="389" t="e">
        <f>MAX(0,'2023.06 to 2024.05 LC'!$F90-$Q$6)</f>
        <v>#VALUE!</v>
      </c>
    </row>
    <row r="85" spans="6:18">
      <c r="H85" s="2"/>
      <c r="R85" s="389" t="e">
        <f>MAX(0,'2023.06 to 2024.05 LC'!$F91-$Q$6)</f>
        <v>#VALUE!</v>
      </c>
    </row>
    <row r="86" spans="6:18">
      <c r="H86" s="2"/>
      <c r="Q86" s="102"/>
      <c r="R86" s="389" t="e">
        <f>MAX(0,'2023.06 to 2024.05 LC'!$F92-$Q$6)</f>
        <v>#VALUE!</v>
      </c>
    </row>
    <row r="87" spans="6:18">
      <c r="H87" s="2"/>
      <c r="R87" s="389" t="e">
        <f>MAX(0,'2023.06 to 2024.05 LC'!$F93-$Q$6)</f>
        <v>#VALUE!</v>
      </c>
    </row>
    <row r="88" spans="6:18">
      <c r="H88" s="2"/>
      <c r="R88" s="389" t="e">
        <f>MAX(0,'2023.06 to 2024.05 LC'!$F94-$Q$6)</f>
        <v>#VALUE!</v>
      </c>
    </row>
    <row r="89" spans="6:18">
      <c r="H89" s="2"/>
      <c r="Q89" s="102"/>
      <c r="R89" s="389" t="e">
        <f>MAX(0,'2023.06 to 2024.05 LC'!$F95-$Q$6)</f>
        <v>#VALUE!</v>
      </c>
    </row>
    <row r="90" spans="6:18">
      <c r="H90" s="2"/>
      <c r="R90" s="389" t="e">
        <f>MAX(0,'2023.06 to 2024.05 LC'!$F96-$Q$6)</f>
        <v>#VALUE!</v>
      </c>
    </row>
    <row r="91" spans="6:18">
      <c r="H91" s="2"/>
      <c r="R91" s="389" t="e">
        <f>MAX(0,'2023.06 to 2024.05 LC'!$F97-$Q$6)</f>
        <v>#VALUE!</v>
      </c>
    </row>
    <row r="92" spans="6:18">
      <c r="H92" s="2"/>
      <c r="Q92" s="102"/>
      <c r="R92" s="389" t="e">
        <f>MAX(0,'2023.06 to 2024.05 LC'!$F98-$Q$6)</f>
        <v>#VALUE!</v>
      </c>
    </row>
    <row r="93" spans="6:18">
      <c r="H93" s="2"/>
      <c r="R93" s="389" t="e">
        <f>MAX(0,'2023.06 to 2024.05 LC'!$F99-$Q$6)</f>
        <v>#VALUE!</v>
      </c>
    </row>
    <row r="94" spans="6:18">
      <c r="H94" s="2"/>
      <c r="R94" s="389" t="e">
        <f>MAX(0,'2023.06 to 2024.05 LC'!$F100-$Q$6)</f>
        <v>#VALUE!</v>
      </c>
    </row>
    <row r="95" spans="6:18">
      <c r="H95" s="2"/>
      <c r="Q95" s="102"/>
      <c r="R95" s="389" t="e">
        <f>MAX(0,'2023.06 to 2024.05 LC'!$F101-$Q$6)</f>
        <v>#VALUE!</v>
      </c>
    </row>
    <row r="96" spans="6:18">
      <c r="H96" s="2"/>
      <c r="R96" s="389" t="e">
        <f>MAX(0,'2023.06 to 2024.05 LC'!$F102-$Q$6)</f>
        <v>#VALUE!</v>
      </c>
    </row>
    <row r="97" spans="8:18">
      <c r="H97" s="2"/>
      <c r="R97" s="389" t="e">
        <f>MAX(0,'2023.06 to 2024.05 LC'!$F103-$Q$6)</f>
        <v>#VALUE!</v>
      </c>
    </row>
    <row r="98" spans="8:18">
      <c r="H98" s="2"/>
      <c r="Q98" s="102"/>
      <c r="R98" s="389" t="e">
        <f>MAX(0,'2023.06 to 2024.05 LC'!$F104-$Q$6)</f>
        <v>#VALUE!</v>
      </c>
    </row>
    <row r="99" spans="8:18">
      <c r="H99" s="2"/>
      <c r="R99" s="389" t="e">
        <f>MAX(0,'2023.06 to 2024.05 LC'!$F105-$Q$6)</f>
        <v>#VALUE!</v>
      </c>
    </row>
    <row r="100" spans="8:18">
      <c r="H100" s="2"/>
      <c r="R100" s="389" t="e">
        <f>MAX(0,'2023.06 to 2024.05 LC'!$F106-$Q$6)</f>
        <v>#VALUE!</v>
      </c>
    </row>
    <row r="101" spans="8:18">
      <c r="H101" s="2"/>
      <c r="Q101" s="102"/>
      <c r="R101" s="389" t="e">
        <f>MAX(0,'2023.06 to 2024.05 LC'!$F107-$Q$6)</f>
        <v>#VALUE!</v>
      </c>
    </row>
    <row r="102" spans="8:18">
      <c r="H102" s="2"/>
      <c r="R102" s="389" t="e">
        <f>MAX(0,'2023.06 to 2024.05 LC'!$F108-$Q$6)</f>
        <v>#VALUE!</v>
      </c>
    </row>
    <row r="103" spans="8:18">
      <c r="H103" s="2"/>
      <c r="R103" s="389" t="e">
        <f>MAX(0,'2023.06 to 2024.05 LC'!$F109-$Q$6)</f>
        <v>#VALUE!</v>
      </c>
    </row>
    <row r="104" spans="8:18">
      <c r="H104" s="2"/>
      <c r="Q104" s="102"/>
      <c r="R104" s="389" t="e">
        <f>MAX(0,'2023.06 to 2024.05 LC'!$F110-$Q$6)</f>
        <v>#VALUE!</v>
      </c>
    </row>
    <row r="105" spans="8:18">
      <c r="H105" s="2"/>
      <c r="R105" s="389" t="e">
        <f>MAX(0,'2023.06 to 2024.05 LC'!$F111-$Q$6)</f>
        <v>#VALUE!</v>
      </c>
    </row>
    <row r="106" spans="8:18">
      <c r="H106" s="2"/>
      <c r="R106" s="389" t="e">
        <f>MAX(0,'2023.06 to 2024.05 LC'!$F112-$Q$6)</f>
        <v>#VALUE!</v>
      </c>
    </row>
    <row r="107" spans="8:18">
      <c r="H107" s="2"/>
      <c r="Q107" s="102"/>
      <c r="R107" s="389" t="e">
        <f>MAX(0,'2023.06 to 2024.05 LC'!$F113-$Q$6)</f>
        <v>#VALUE!</v>
      </c>
    </row>
    <row r="108" spans="8:18">
      <c r="H108" s="2"/>
      <c r="R108" s="389" t="e">
        <f>MAX(0,'2023.06 to 2024.05 LC'!$F114-$Q$6)</f>
        <v>#VALUE!</v>
      </c>
    </row>
    <row r="109" spans="8:18">
      <c r="H109" s="2"/>
      <c r="R109" s="389" t="e">
        <f>MAX(0,'2023.06 to 2024.05 LC'!$F115-$Q$6)</f>
        <v>#VALUE!</v>
      </c>
    </row>
    <row r="110" spans="8:18">
      <c r="H110" s="2"/>
      <c r="Q110" s="102"/>
      <c r="R110" s="389" t="e">
        <f>MAX(0,'2023.06 to 2024.05 LC'!$F116-$Q$6)</f>
        <v>#VALUE!</v>
      </c>
    </row>
    <row r="111" spans="8:18">
      <c r="H111" s="2"/>
      <c r="R111" s="389" t="e">
        <f>MAX(0,'2023.06 to 2024.05 LC'!$F117-$Q$6)</f>
        <v>#VALUE!</v>
      </c>
    </row>
    <row r="112" spans="8:18">
      <c r="H112" s="2"/>
      <c r="R112" s="389" t="e">
        <f>MAX(0,'2023.06 to 2024.05 LC'!$F118-$Q$6)</f>
        <v>#VALUE!</v>
      </c>
    </row>
    <row r="113" spans="8:18">
      <c r="H113" s="2"/>
      <c r="Q113" s="102"/>
      <c r="R113" s="389" t="e">
        <f>MAX(0,'2023.06 to 2024.05 LC'!$F119-$Q$6)</f>
        <v>#VALUE!</v>
      </c>
    </row>
    <row r="114" spans="8:18">
      <c r="H114" s="2"/>
      <c r="R114" s="389" t="e">
        <f>MAX(0,'2023.06 to 2024.05 LC'!$F120-$Q$6)</f>
        <v>#VALUE!</v>
      </c>
    </row>
    <row r="115" spans="8:18">
      <c r="H115" s="2"/>
      <c r="R115" s="389" t="e">
        <f>MAX(0,'2023.06 to 2024.05 LC'!$F121-$Q$6)</f>
        <v>#VALUE!</v>
      </c>
    </row>
    <row r="116" spans="8:18">
      <c r="H116" s="2"/>
      <c r="Q116" s="102"/>
      <c r="R116" s="389" t="e">
        <f>MAX(0,'2023.06 to 2024.05 LC'!$F122-$Q$6)</f>
        <v>#VALUE!</v>
      </c>
    </row>
    <row r="117" spans="8:18">
      <c r="H117" s="2"/>
      <c r="R117" s="389" t="e">
        <f>MAX(0,'2023.06 to 2024.05 LC'!$F123-$Q$6)</f>
        <v>#VALUE!</v>
      </c>
    </row>
    <row r="118" spans="8:18">
      <c r="H118" s="2"/>
      <c r="R118" s="389" t="e">
        <f>MAX(0,'2023.06 to 2024.05 LC'!$F124-$Q$6)</f>
        <v>#VALUE!</v>
      </c>
    </row>
    <row r="119" spans="8:18">
      <c r="H119" s="2"/>
      <c r="Q119" s="102"/>
      <c r="R119" s="389" t="e">
        <f>MAX(0,'2023.06 to 2024.05 LC'!$F125-$Q$6)</f>
        <v>#VALUE!</v>
      </c>
    </row>
    <row r="120" spans="8:18">
      <c r="H120" s="2"/>
      <c r="R120" s="389" t="e">
        <f>MAX(0,'2023.06 to 2024.05 LC'!$F126-$Q$6)</f>
        <v>#VALUE!</v>
      </c>
    </row>
    <row r="121" spans="8:18">
      <c r="H121" s="2"/>
      <c r="R121" s="389" t="e">
        <f>MAX(0,'2023.06 to 2024.05 LC'!$F127-$Q$6)</f>
        <v>#VALUE!</v>
      </c>
    </row>
    <row r="122" spans="8:18">
      <c r="H122" s="2"/>
      <c r="Q122" s="102"/>
      <c r="R122" s="389" t="e">
        <f>MAX(0,'2023.06 to 2024.05 LC'!$F128-$Q$6)</f>
        <v>#VALUE!</v>
      </c>
    </row>
    <row r="123" spans="8:18">
      <c r="H123" s="2"/>
      <c r="R123" s="389" t="e">
        <f>MAX(0,'2023.06 to 2024.05 LC'!$F129-$Q$6)</f>
        <v>#VALUE!</v>
      </c>
    </row>
    <row r="124" spans="8:18">
      <c r="H124" s="2"/>
      <c r="R124" s="389" t="e">
        <f>MAX(0,'2023.06 to 2024.05 LC'!$F130-$Q$6)</f>
        <v>#VALUE!</v>
      </c>
    </row>
    <row r="125" spans="8:18">
      <c r="H125" s="2"/>
      <c r="Q125" s="102"/>
      <c r="R125" s="389" t="e">
        <f>MAX(0,'2023.06 to 2024.05 LC'!$F131-$Q$6)</f>
        <v>#VALUE!</v>
      </c>
    </row>
    <row r="126" spans="8:18">
      <c r="H126" s="2"/>
      <c r="R126" s="389" t="e">
        <f>MAX(0,'2023.06 to 2024.05 LC'!$F132-$Q$6)</f>
        <v>#VALUE!</v>
      </c>
    </row>
    <row r="127" spans="8:18">
      <c r="H127" s="2"/>
      <c r="R127" s="389" t="e">
        <f>MAX(0,'2023.06 to 2024.05 LC'!$F133-$Q$6)</f>
        <v>#VALUE!</v>
      </c>
    </row>
    <row r="128" spans="8:18">
      <c r="H128" s="2"/>
      <c r="Q128" s="102"/>
      <c r="R128" s="389" t="e">
        <f>MAX(0,'2023.06 to 2024.05 LC'!$F134-$Q$6)</f>
        <v>#VALUE!</v>
      </c>
    </row>
    <row r="129" spans="8:18">
      <c r="H129" s="2"/>
      <c r="R129" s="389" t="e">
        <f>MAX(0,'2023.06 to 2024.05 LC'!$F135-$Q$6)</f>
        <v>#VALUE!</v>
      </c>
    </row>
    <row r="130" spans="8:18">
      <c r="H130" s="2"/>
      <c r="R130" s="389" t="e">
        <f>MAX(0,'2023.06 to 2024.05 LC'!$F136-$Q$6)</f>
        <v>#VALUE!</v>
      </c>
    </row>
    <row r="131" spans="8:18">
      <c r="H131" s="2"/>
      <c r="Q131" s="102"/>
      <c r="R131" s="389" t="e">
        <f>MAX(0,'2023.06 to 2024.05 LC'!$F137-$Q$6)</f>
        <v>#VALUE!</v>
      </c>
    </row>
    <row r="132" spans="8:18">
      <c r="H132" s="2"/>
      <c r="R132" s="389" t="e">
        <f>MAX(0,'2023.06 to 2024.05 LC'!$F138-$Q$6)</f>
        <v>#VALUE!</v>
      </c>
    </row>
    <row r="133" spans="8:18">
      <c r="H133" s="2"/>
      <c r="R133" s="389" t="e">
        <f>MAX(0,'2023.06 to 2024.05 LC'!$F139-$Q$6)</f>
        <v>#VALUE!</v>
      </c>
    </row>
    <row r="134" spans="8:18">
      <c r="H134" s="2"/>
      <c r="Q134" s="102"/>
      <c r="R134" s="389" t="e">
        <f>MAX(0,'2023.06 to 2024.05 LC'!$F140-$Q$6)</f>
        <v>#VALUE!</v>
      </c>
    </row>
    <row r="135" spans="8:18">
      <c r="H135" s="2"/>
      <c r="R135" s="389" t="e">
        <f>MAX(0,'2023.06 to 2024.05 LC'!$F141-$Q$6)</f>
        <v>#VALUE!</v>
      </c>
    </row>
    <row r="136" spans="8:18">
      <c r="H136" s="2"/>
      <c r="R136" s="389" t="e">
        <f>MAX(0,'2023.06 to 2024.05 LC'!$F142-$Q$6)</f>
        <v>#VALUE!</v>
      </c>
    </row>
    <row r="137" spans="8:18">
      <c r="H137" s="2"/>
      <c r="Q137" s="102"/>
      <c r="R137" s="389" t="e">
        <f>MAX(0,'2023.06 to 2024.05 LC'!$F143-$Q$6)</f>
        <v>#VALUE!</v>
      </c>
    </row>
    <row r="138" spans="8:18">
      <c r="H138" s="2"/>
      <c r="R138" s="389" t="e">
        <f>MAX(0,'2023.06 to 2024.05 LC'!$F144-$Q$6)</f>
        <v>#VALUE!</v>
      </c>
    </row>
    <row r="139" spans="8:18">
      <c r="H139" s="2"/>
      <c r="R139" s="389" t="e">
        <f>MAX(0,'2023.06 to 2024.05 LC'!$F145-$Q$6)</f>
        <v>#VALUE!</v>
      </c>
    </row>
    <row r="140" spans="8:18">
      <c r="H140" s="2"/>
      <c r="Q140" s="102"/>
      <c r="R140" s="389" t="e">
        <f>MAX(0,'2023.06 to 2024.05 LC'!$F146-$Q$6)</f>
        <v>#VALUE!</v>
      </c>
    </row>
    <row r="141" spans="8:18">
      <c r="H141" s="2"/>
      <c r="R141" s="389" t="e">
        <f>MAX(0,'2023.06 to 2024.05 LC'!$F147-$Q$6)</f>
        <v>#VALUE!</v>
      </c>
    </row>
    <row r="142" spans="8:18">
      <c r="H142" s="2"/>
      <c r="R142" s="389" t="e">
        <f>MAX(0,'2023.06 to 2024.05 LC'!$F148-$Q$6)</f>
        <v>#VALUE!</v>
      </c>
    </row>
    <row r="143" spans="8:18">
      <c r="H143" s="2"/>
      <c r="Q143" s="102"/>
      <c r="R143" s="389" t="e">
        <f>MAX(0,'2023.06 to 2024.05 LC'!$F149-$Q$6)</f>
        <v>#VALUE!</v>
      </c>
    </row>
    <row r="144" spans="8:18">
      <c r="H144" s="2"/>
      <c r="R144" s="389" t="e">
        <f>MAX(0,'2023.06 to 2024.05 LC'!$F150-$Q$6)</f>
        <v>#VALUE!</v>
      </c>
    </row>
    <row r="145" spans="8:18">
      <c r="H145" s="2"/>
      <c r="R145" s="389" t="e">
        <f>MAX(0,'2023.06 to 2024.05 LC'!$F151-$Q$6)</f>
        <v>#VALUE!</v>
      </c>
    </row>
    <row r="146" spans="8:18">
      <c r="H146" s="2"/>
      <c r="Q146" s="102"/>
      <c r="R146" s="389" t="e">
        <f>MAX(0,'2023.06 to 2024.05 LC'!$F152-$Q$6)</f>
        <v>#VALUE!</v>
      </c>
    </row>
    <row r="147" spans="8:18">
      <c r="H147" s="2"/>
      <c r="R147" s="389" t="e">
        <f>MAX(0,'2023.06 to 2024.05 LC'!$F153-$Q$6)</f>
        <v>#VALUE!</v>
      </c>
    </row>
    <row r="148" spans="8:18">
      <c r="H148" s="2"/>
      <c r="R148" s="389" t="e">
        <f>MAX(0,'2023.06 to 2024.05 LC'!$F154-$Q$6)</f>
        <v>#VALUE!</v>
      </c>
    </row>
    <row r="149" spans="8:18">
      <c r="H149" s="2"/>
      <c r="Q149" s="102"/>
      <c r="R149" s="389" t="e">
        <f>MAX(0,'2023.06 to 2024.05 LC'!$F155-$Q$6)</f>
        <v>#VALUE!</v>
      </c>
    </row>
    <row r="150" spans="8:18">
      <c r="H150" s="2"/>
      <c r="R150" s="389" t="e">
        <f>MAX(0,'2023.06 to 2024.05 LC'!$F156-$Q$6)</f>
        <v>#VALUE!</v>
      </c>
    </row>
    <row r="151" spans="8:18">
      <c r="H151" s="2"/>
      <c r="R151" s="389" t="e">
        <f>MAX(0,'2023.06 to 2024.05 LC'!$F157-$Q$6)</f>
        <v>#VALUE!</v>
      </c>
    </row>
    <row r="152" spans="8:18">
      <c r="H152" s="2"/>
      <c r="Q152" s="102"/>
      <c r="R152" s="389" t="e">
        <f>MAX(0,'2023.06 to 2024.05 LC'!$F158-$Q$6)</f>
        <v>#VALUE!</v>
      </c>
    </row>
    <row r="153" spans="8:18">
      <c r="H153" s="2"/>
      <c r="R153" s="389" t="e">
        <f>MAX(0,'2023.06 to 2024.05 LC'!$F159-$Q$6)</f>
        <v>#VALUE!</v>
      </c>
    </row>
    <row r="154" spans="8:18">
      <c r="H154" s="2"/>
      <c r="R154" s="389" t="e">
        <f>MAX(0,'2023.06 to 2024.05 LC'!$F160-$Q$6)</f>
        <v>#VALUE!</v>
      </c>
    </row>
    <row r="155" spans="8:18">
      <c r="H155" s="2"/>
      <c r="Q155" s="102"/>
      <c r="R155" s="389" t="e">
        <f>MAX(0,'2023.06 to 2024.05 LC'!$F161-$Q$6)</f>
        <v>#VALUE!</v>
      </c>
    </row>
    <row r="156" spans="8:18">
      <c r="H156" s="2"/>
      <c r="R156" s="389" t="e">
        <f>MAX(0,'2023.06 to 2024.05 LC'!$F162-$Q$6)</f>
        <v>#VALUE!</v>
      </c>
    </row>
    <row r="157" spans="8:18">
      <c r="H157" s="2"/>
      <c r="R157" s="389" t="e">
        <f>MAX(0,'2023.06 to 2024.05 LC'!$F163-$Q$6)</f>
        <v>#VALUE!</v>
      </c>
    </row>
    <row r="158" spans="8:18">
      <c r="H158" s="2"/>
      <c r="Q158" s="102"/>
      <c r="R158" s="389" t="e">
        <f>MAX(0,'2023.06 to 2024.05 LC'!$F164-$Q$6)</f>
        <v>#VALUE!</v>
      </c>
    </row>
    <row r="159" spans="8:18">
      <c r="H159" s="2"/>
      <c r="R159" s="389" t="e">
        <f>MAX(0,'2023.06 to 2024.05 LC'!$F165-$Q$6)</f>
        <v>#VALUE!</v>
      </c>
    </row>
    <row r="160" spans="8:18">
      <c r="H160" s="2"/>
      <c r="R160" s="389" t="e">
        <f>MAX(0,'2023.06 to 2024.05 LC'!$F166-$Q$6)</f>
        <v>#VALUE!</v>
      </c>
    </row>
    <row r="161" spans="8:18">
      <c r="H161" s="2"/>
      <c r="Q161" s="102"/>
      <c r="R161" s="389" t="e">
        <f>MAX(0,'2023.06 to 2024.05 LC'!$F167-$Q$6)</f>
        <v>#VALUE!</v>
      </c>
    </row>
    <row r="162" spans="8:18">
      <c r="H162" s="2"/>
      <c r="R162" s="389" t="e">
        <f>MAX(0,'2023.06 to 2024.05 LC'!$F168-$Q$6)</f>
        <v>#VALUE!</v>
      </c>
    </row>
    <row r="163" spans="8:18">
      <c r="H163" s="2"/>
      <c r="R163" s="389" t="e">
        <f>MAX(0,'2023.06 to 2024.05 LC'!$F169-$Q$6)</f>
        <v>#VALUE!</v>
      </c>
    </row>
    <row r="164" spans="8:18">
      <c r="H164" s="2"/>
      <c r="Q164" s="102"/>
      <c r="R164" s="389" t="e">
        <f>MAX(0,'2023.06 to 2024.05 LC'!$F170-$Q$6)</f>
        <v>#VALUE!</v>
      </c>
    </row>
    <row r="165" spans="8:18">
      <c r="H165" s="2"/>
      <c r="R165" s="389" t="e">
        <f>MAX(0,'2023.06 to 2024.05 LC'!$F171-$Q$6)</f>
        <v>#VALUE!</v>
      </c>
    </row>
    <row r="166" spans="8:18">
      <c r="H166" s="2"/>
      <c r="R166" s="389" t="e">
        <f>MAX(0,'2023.06 to 2024.05 LC'!$F172-$Q$6)</f>
        <v>#VALUE!</v>
      </c>
    </row>
    <row r="167" spans="8:18">
      <c r="H167" s="2"/>
      <c r="Q167" s="102"/>
      <c r="R167" s="389" t="e">
        <f>MAX(0,'2023.06 to 2024.05 LC'!$F173-$Q$6)</f>
        <v>#VALUE!</v>
      </c>
    </row>
    <row r="168" spans="8:18">
      <c r="H168" s="2"/>
      <c r="R168" s="389" t="e">
        <f>MAX(0,'2023.06 to 2024.05 LC'!$F174-$Q$6)</f>
        <v>#VALUE!</v>
      </c>
    </row>
    <row r="169" spans="8:18">
      <c r="H169" s="2"/>
      <c r="R169" s="389" t="e">
        <f>MAX(0,'2023.06 to 2024.05 LC'!$F175-$Q$6)</f>
        <v>#VALUE!</v>
      </c>
    </row>
    <row r="170" spans="8:18">
      <c r="H170" s="2"/>
      <c r="Q170" s="102"/>
      <c r="R170" s="389" t="e">
        <f>MAX(0,'2023.06 to 2024.05 LC'!$F176-$Q$6)</f>
        <v>#VALUE!</v>
      </c>
    </row>
    <row r="171" spans="8:18">
      <c r="H171" s="2"/>
      <c r="R171" s="389" t="e">
        <f>MAX(0,'2023.06 to 2024.05 LC'!$F177-$Q$6)</f>
        <v>#VALUE!</v>
      </c>
    </row>
    <row r="172" spans="8:18">
      <c r="H172" s="2"/>
      <c r="R172" s="389" t="e">
        <f>MAX(0,'2023.06 to 2024.05 LC'!$F178-$Q$6)</f>
        <v>#VALUE!</v>
      </c>
    </row>
    <row r="173" spans="8:18">
      <c r="H173" s="2"/>
      <c r="Q173" s="102"/>
      <c r="R173" s="389" t="e">
        <f>MAX(0,'2023.06 to 2024.05 LC'!$F179-$Q$6)</f>
        <v>#VALUE!</v>
      </c>
    </row>
    <row r="174" spans="8:18">
      <c r="H174" s="2"/>
      <c r="R174" s="389" t="e">
        <f>MAX(0,'2023.06 to 2024.05 LC'!$F180-$Q$6)</f>
        <v>#VALUE!</v>
      </c>
    </row>
    <row r="175" spans="8:18">
      <c r="H175" s="2"/>
      <c r="R175" s="389" t="e">
        <f>MAX(0,'2023.06 to 2024.05 LC'!$F181-$Q$6)</f>
        <v>#VALUE!</v>
      </c>
    </row>
    <row r="176" spans="8:18">
      <c r="H176" s="2"/>
      <c r="Q176" s="102"/>
      <c r="R176" s="389" t="e">
        <f>MAX(0,'2023.06 to 2024.05 LC'!$F182-$Q$6)</f>
        <v>#VALUE!</v>
      </c>
    </row>
    <row r="177" spans="8:18">
      <c r="H177" s="2"/>
      <c r="R177" s="389" t="e">
        <f>MAX(0,'2023.06 to 2024.05 LC'!$F183-$Q$6)</f>
        <v>#VALUE!</v>
      </c>
    </row>
    <row r="178" spans="8:18">
      <c r="H178" s="2"/>
      <c r="R178" s="389" t="e">
        <f>MAX(0,'2023.06 to 2024.05 LC'!$F184-$Q$6)</f>
        <v>#VALUE!</v>
      </c>
    </row>
    <row r="179" spans="8:18">
      <c r="H179" s="2"/>
      <c r="Q179" s="102"/>
      <c r="R179" s="389" t="e">
        <f>MAX(0,'2023.06 to 2024.05 LC'!$F185-$Q$6)</f>
        <v>#VALUE!</v>
      </c>
    </row>
    <row r="180" spans="8:18">
      <c r="H180" s="2"/>
      <c r="R180" s="389" t="e">
        <f>MAX(0,'2023.06 to 2024.05 LC'!$F186-$Q$6)</f>
        <v>#VALUE!</v>
      </c>
    </row>
    <row r="181" spans="8:18">
      <c r="H181" s="2"/>
      <c r="R181" s="389" t="e">
        <f>MAX(0,'2023.06 to 2024.05 LC'!$F187-$Q$6)</f>
        <v>#VALUE!</v>
      </c>
    </row>
    <row r="182" spans="8:18">
      <c r="H182" s="2"/>
      <c r="Q182" s="102"/>
      <c r="R182" s="389" t="e">
        <f>MAX(0,'2023.06 to 2024.05 LC'!$F188-$Q$6)</f>
        <v>#VALUE!</v>
      </c>
    </row>
    <row r="183" spans="8:18">
      <c r="H183" s="2"/>
      <c r="R183" s="389" t="e">
        <f>MAX(0,'2023.06 to 2024.05 LC'!$F189-$Q$6)</f>
        <v>#VALUE!</v>
      </c>
    </row>
    <row r="184" spans="8:18">
      <c r="H184" s="2"/>
      <c r="R184" s="389" t="e">
        <f>MAX(0,'2023.06 to 2024.05 LC'!$F190-$Q$6)</f>
        <v>#VALUE!</v>
      </c>
    </row>
    <row r="185" spans="8:18">
      <c r="H185" s="2"/>
      <c r="Q185" s="102"/>
      <c r="R185" s="389" t="e">
        <f>MAX(0,'2023.06 to 2024.05 LC'!$F191-$Q$6)</f>
        <v>#VALUE!</v>
      </c>
    </row>
    <row r="186" spans="8:18">
      <c r="H186" s="2"/>
      <c r="R186" s="389" t="e">
        <f>MAX(0,'2023.06 to 2024.05 LC'!$F192-$Q$6)</f>
        <v>#VALUE!</v>
      </c>
    </row>
    <row r="187" spans="8:18">
      <c r="H187" s="2"/>
      <c r="R187" s="389" t="e">
        <f>MAX(0,'2023.06 to 2024.05 LC'!$F193-$Q$6)</f>
        <v>#VALUE!</v>
      </c>
    </row>
    <row r="188" spans="8:18">
      <c r="H188" s="2"/>
      <c r="Q188" s="102"/>
      <c r="R188" s="389" t="e">
        <f>MAX(0,'2023.06 to 2024.05 LC'!$F194-$Q$6)</f>
        <v>#VALUE!</v>
      </c>
    </row>
    <row r="189" spans="8:18">
      <c r="H189" s="2"/>
      <c r="R189" s="389" t="e">
        <f>MAX(0,'2023.06 to 2024.05 LC'!$F195-$Q$6)</f>
        <v>#VALUE!</v>
      </c>
    </row>
    <row r="190" spans="8:18">
      <c r="H190" s="2"/>
      <c r="R190" s="389" t="e">
        <f>MAX(0,'2023.06 to 2024.05 LC'!$F196-$Q$6)</f>
        <v>#VALUE!</v>
      </c>
    </row>
    <row r="191" spans="8:18">
      <c r="H191" s="2"/>
      <c r="Q191" s="102"/>
      <c r="R191" s="389" t="e">
        <f>MAX(0,'2023.06 to 2024.05 LC'!$F197-$Q$6)</f>
        <v>#VALUE!</v>
      </c>
    </row>
    <row r="192" spans="8:18">
      <c r="H192" s="2"/>
      <c r="R192" s="389" t="e">
        <f>MAX(0,'2023.06 to 2024.05 LC'!$F198-$Q$6)</f>
        <v>#VALUE!</v>
      </c>
    </row>
    <row r="193" spans="8:18">
      <c r="H193" s="2"/>
      <c r="R193" s="389" t="e">
        <f>MAX(0,'2023.06 to 2024.05 LC'!$F199-$Q$6)</f>
        <v>#VALUE!</v>
      </c>
    </row>
    <row r="194" spans="8:18">
      <c r="H194" s="2"/>
      <c r="Q194" s="102"/>
      <c r="R194" s="389" t="e">
        <f>MAX(0,'2023.06 to 2024.05 LC'!$F200-$Q$6)</f>
        <v>#VALUE!</v>
      </c>
    </row>
    <row r="195" spans="8:18">
      <c r="H195" s="2"/>
      <c r="R195" s="389" t="e">
        <f>MAX(0,'2023.06 to 2024.05 LC'!$F201-$Q$6)</f>
        <v>#VALUE!</v>
      </c>
    </row>
    <row r="196" spans="8:18">
      <c r="H196" s="2"/>
      <c r="R196" s="389" t="e">
        <f>MAX(0,'2023.06 to 2024.05 LC'!$F202-$Q$6)</f>
        <v>#VALUE!</v>
      </c>
    </row>
    <row r="197" spans="8:18">
      <c r="H197" s="2"/>
      <c r="Q197" s="102"/>
      <c r="R197" s="389" t="e">
        <f>MAX(0,'2023.06 to 2024.05 LC'!$F203-$Q$6)</f>
        <v>#VALUE!</v>
      </c>
    </row>
    <row r="198" spans="8:18">
      <c r="H198" s="2"/>
      <c r="R198" s="389" t="e">
        <f>MAX(0,'2023.06 to 2024.05 LC'!$F204-$Q$6)</f>
        <v>#VALUE!</v>
      </c>
    </row>
    <row r="199" spans="8:18">
      <c r="H199" s="2"/>
      <c r="R199" s="389" t="e">
        <f>MAX(0,'2023.06 to 2024.05 LC'!$F205-$Q$6)</f>
        <v>#VALUE!</v>
      </c>
    </row>
    <row r="200" spans="8:18">
      <c r="H200" s="2"/>
      <c r="Q200" s="102"/>
      <c r="R200" s="389" t="e">
        <f>MAX(0,'2023.06 to 2024.05 LC'!$F206-$Q$6)</f>
        <v>#VALUE!</v>
      </c>
    </row>
    <row r="201" spans="8:18">
      <c r="H201" s="2"/>
      <c r="R201" s="389" t="e">
        <f>MAX(0,'2023.06 to 2024.05 LC'!$F207-$Q$6)</f>
        <v>#VALUE!</v>
      </c>
    </row>
    <row r="202" spans="8:18">
      <c r="H202" s="2"/>
      <c r="R202" s="389">
        <f>MAX(0,'2023.06 to 2024.05 LC'!$F208-$Q$6)</f>
        <v>0</v>
      </c>
    </row>
    <row r="203" spans="8:18">
      <c r="H203" s="2"/>
      <c r="Q203" s="102"/>
      <c r="R203" s="389">
        <f>MAX(0,'2023.06 to 2024.05 LC'!$F209-$Q$6)</f>
        <v>0</v>
      </c>
    </row>
    <row r="204" spans="8:18">
      <c r="H204" s="2"/>
      <c r="R204" s="389">
        <f>MAX(0,'2023.06 to 2024.05 LC'!$F210-$Q$6)</f>
        <v>0</v>
      </c>
    </row>
    <row r="205" spans="8:18">
      <c r="H205" s="2"/>
      <c r="R205" s="389">
        <f>MAX(0,'2023.06 to 2024.05 LC'!$F211-$Q$6)</f>
        <v>0</v>
      </c>
    </row>
    <row r="206" spans="8:18">
      <c r="H206" s="2"/>
      <c r="Q206" s="102"/>
      <c r="R206" s="389">
        <f>MAX(0,'2023.06 to 2024.05 LC'!$F212-$Q$6)</f>
        <v>0</v>
      </c>
    </row>
    <row r="207" spans="8:18">
      <c r="H207" s="2"/>
      <c r="R207" s="389">
        <f>MAX(0,'2023.06 to 2024.05 LC'!$F213-$Q$6)</f>
        <v>0</v>
      </c>
    </row>
    <row r="208" spans="8:18">
      <c r="H208" s="2"/>
      <c r="R208" s="389">
        <f>MAX(0,'2023.06 to 2024.05 LC'!$F214-$Q$6)</f>
        <v>0</v>
      </c>
    </row>
    <row r="209" spans="8:18">
      <c r="H209" s="2"/>
      <c r="Q209" s="102"/>
      <c r="R209" s="389">
        <f>MAX(0,'2023.06 to 2024.05 LC'!$F215-$Q$6)</f>
        <v>0</v>
      </c>
    </row>
    <row r="210" spans="8:18">
      <c r="H210" s="2"/>
      <c r="R210" s="389">
        <f>MAX(0,'2023.06 to 2024.05 LC'!$F216-$Q$6)</f>
        <v>0</v>
      </c>
    </row>
    <row r="211" spans="8:18">
      <c r="H211" s="2"/>
      <c r="R211" s="389">
        <f>MAX(0,'2023.06 to 2024.05 LC'!$F217-$Q$6)</f>
        <v>0</v>
      </c>
    </row>
    <row r="212" spans="8:18">
      <c r="H212" s="2"/>
      <c r="Q212" s="102"/>
      <c r="R212" s="389">
        <f>MAX(0,'2023.06 to 2024.05 LC'!$F218-$Q$6)</f>
        <v>0</v>
      </c>
    </row>
    <row r="213" spans="8:18">
      <c r="H213" s="2"/>
      <c r="R213" s="389">
        <f>MAX(0,'2023.06 to 2024.05 LC'!$F219-$Q$6)</f>
        <v>0</v>
      </c>
    </row>
    <row r="214" spans="8:18">
      <c r="H214" s="2"/>
      <c r="R214" s="389">
        <f>MAX(0,'2023.06 to 2024.05 LC'!$F220-$Q$6)</f>
        <v>0</v>
      </c>
    </row>
    <row r="215" spans="8:18">
      <c r="H215" s="2"/>
      <c r="Q215" s="102"/>
      <c r="R215" s="389">
        <f>MAX(0,'2023.06 to 2024.05 LC'!$F221-$Q$6)</f>
        <v>0</v>
      </c>
    </row>
    <row r="216" spans="8:18">
      <c r="H216" s="2"/>
      <c r="R216" s="389">
        <f>MAX(0,'2023.06 to 2024.05 LC'!$F222-$Q$6)</f>
        <v>0</v>
      </c>
    </row>
    <row r="217" spans="8:18">
      <c r="H217" s="2"/>
      <c r="R217" s="389">
        <f>MAX(0,'2023.06 to 2024.05 LC'!$F223-$Q$6)</f>
        <v>0</v>
      </c>
    </row>
    <row r="218" spans="8:18">
      <c r="H218" s="2"/>
      <c r="Q218" s="102"/>
      <c r="R218" s="389">
        <f>MAX(0,'2023.06 to 2024.05 LC'!$F224-$Q$6)</f>
        <v>0</v>
      </c>
    </row>
    <row r="219" spans="8:18">
      <c r="H219" s="2"/>
      <c r="R219" s="389">
        <f>MAX(0,'2023.06 to 2024.05 LC'!$F225-$Q$6)</f>
        <v>0</v>
      </c>
    </row>
    <row r="220" spans="8:18">
      <c r="H220" s="2"/>
      <c r="R220" s="389">
        <f>MAX(0,'2023.06 to 2024.05 LC'!$F226-$Q$6)</f>
        <v>0</v>
      </c>
    </row>
    <row r="221" spans="8:18">
      <c r="H221" s="2"/>
      <c r="Q221" s="102"/>
      <c r="R221" s="389">
        <f>MAX(0,'2023.06 to 2024.05 LC'!$F227-$Q$6)</f>
        <v>0</v>
      </c>
    </row>
    <row r="222" spans="8:18">
      <c r="H222" s="2"/>
      <c r="R222" s="389">
        <f>MAX(0,'2023.06 to 2024.05 LC'!$F228-$Q$6)</f>
        <v>0</v>
      </c>
    </row>
    <row r="223" spans="8:18">
      <c r="H223" s="2"/>
      <c r="R223" s="389">
        <f>MAX(0,'2023.06 to 2024.05 LC'!$F229-$Q$6)</f>
        <v>0</v>
      </c>
    </row>
    <row r="224" spans="8:18">
      <c r="H224" s="2"/>
      <c r="Q224" s="102"/>
      <c r="R224" s="389">
        <f>MAX(0,'2023.06 to 2024.05 LC'!$F230-$Q$6)</f>
        <v>0</v>
      </c>
    </row>
    <row r="225" spans="8:18" ht="15.75" thickBot="1">
      <c r="H225" s="2"/>
      <c r="R225" s="390">
        <f>MAX(0,'2023.06 to 2024.05 LC'!$F231-$Q$6)</f>
        <v>0</v>
      </c>
    </row>
    <row r="226" spans="8:18">
      <c r="H226" s="2"/>
      <c r="Q226" s="55" t="s">
        <v>60</v>
      </c>
      <c r="R226" s="64" t="e">
        <f>(SUM($R$6:$R$225)-$Q$7)</f>
        <v>#VALUE!</v>
      </c>
    </row>
    <row r="227" spans="8:18">
      <c r="H227" s="2"/>
      <c r="Q227" s="55" t="s">
        <v>61</v>
      </c>
      <c r="R227" s="55">
        <f>COUNTIF($R$6:$R$225,"&gt;0")</f>
        <v>0</v>
      </c>
    </row>
    <row r="228" spans="8:18">
      <c r="H228" s="2"/>
    </row>
    <row r="229" spans="8:18">
      <c r="H229" s="2"/>
    </row>
    <row r="230" spans="8:18">
      <c r="H230" s="2"/>
    </row>
    <row r="231" spans="8:18">
      <c r="H231" s="2"/>
    </row>
    <row r="232" spans="8:18">
      <c r="H232" s="2"/>
    </row>
    <row r="233" spans="8:18">
      <c r="H233" s="2"/>
    </row>
    <row r="234" spans="8:18">
      <c r="H234" s="2"/>
    </row>
    <row r="235" spans="8:18">
      <c r="H235" s="2"/>
    </row>
    <row r="236" spans="8:18">
      <c r="H236" s="2"/>
    </row>
    <row r="237" spans="8:18">
      <c r="H237" s="2"/>
    </row>
    <row r="238" spans="8:18">
      <c r="H238" s="2"/>
    </row>
    <row r="239" spans="8:18">
      <c r="H239" s="2"/>
    </row>
    <row r="240" spans="8:18">
      <c r="H240" s="2"/>
    </row>
    <row r="241" spans="8:8">
      <c r="H241" s="2"/>
    </row>
    <row r="242" spans="8:8">
      <c r="H242" s="2"/>
    </row>
    <row r="243" spans="8:8">
      <c r="H243" s="2"/>
    </row>
    <row r="244" spans="8:8">
      <c r="H244" s="2"/>
    </row>
    <row r="245" spans="8:8">
      <c r="H245" s="2"/>
    </row>
    <row r="246" spans="8:8">
      <c r="H246" s="2"/>
    </row>
    <row r="247" spans="8:8">
      <c r="H247" s="2"/>
    </row>
    <row r="248" spans="8:8">
      <c r="H248" s="2"/>
    </row>
    <row r="249" spans="8:8">
      <c r="H249" s="2"/>
    </row>
    <row r="250" spans="8:8">
      <c r="H250" s="2"/>
    </row>
    <row r="251" spans="8:8">
      <c r="H251" s="2"/>
    </row>
    <row r="252" spans="8:8">
      <c r="H252" s="2"/>
    </row>
    <row r="253" spans="8:8">
      <c r="H253" s="2"/>
    </row>
    <row r="254" spans="8:8">
      <c r="H254" s="2"/>
    </row>
    <row r="255" spans="8:8">
      <c r="H255" s="2"/>
    </row>
    <row r="256" spans="8:8">
      <c r="H256" s="2"/>
    </row>
    <row r="257" spans="8:8">
      <c r="H257" s="2"/>
    </row>
    <row r="258" spans="8:8">
      <c r="H258" s="2"/>
    </row>
    <row r="259" spans="8:8">
      <c r="H259" s="2"/>
    </row>
    <row r="260" spans="8:8">
      <c r="H260" s="2"/>
    </row>
    <row r="261" spans="8:8">
      <c r="H261" s="2"/>
    </row>
    <row r="262" spans="8:8">
      <c r="H262" s="2"/>
    </row>
    <row r="263" spans="8:8">
      <c r="H263" s="2"/>
    </row>
    <row r="264" spans="8:8">
      <c r="H264" s="2"/>
    </row>
    <row r="265" spans="8:8">
      <c r="H265" s="2"/>
    </row>
    <row r="266" spans="8:8">
      <c r="H266" s="2"/>
    </row>
    <row r="267" spans="8:8">
      <c r="H267" s="2"/>
    </row>
    <row r="268" spans="8:8">
      <c r="H268" s="2"/>
    </row>
    <row r="269" spans="8:8">
      <c r="H269" s="2"/>
    </row>
    <row r="270" spans="8:8">
      <c r="H270" s="2"/>
    </row>
    <row r="271" spans="8:8">
      <c r="H271" s="2"/>
    </row>
    <row r="272" spans="8:8">
      <c r="H272" s="2"/>
    </row>
    <row r="273" spans="8:8">
      <c r="H273" s="2"/>
    </row>
    <row r="274" spans="8:8">
      <c r="H274" s="2"/>
    </row>
    <row r="275" spans="8:8">
      <c r="H275" s="2"/>
    </row>
    <row r="276" spans="8:8">
      <c r="H276" s="2"/>
    </row>
    <row r="277" spans="8:8">
      <c r="H277" s="2"/>
    </row>
    <row r="278" spans="8:8">
      <c r="H278" s="2"/>
    </row>
    <row r="279" spans="8:8">
      <c r="H279" s="2"/>
    </row>
    <row r="280" spans="8:8">
      <c r="H280" s="2"/>
    </row>
    <row r="281" spans="8:8">
      <c r="H281" s="2"/>
    </row>
    <row r="282" spans="8:8">
      <c r="H282" s="2"/>
    </row>
    <row r="283" spans="8:8">
      <c r="H283" s="2"/>
    </row>
    <row r="284" spans="8:8">
      <c r="H284" s="2"/>
    </row>
    <row r="285" spans="8:8">
      <c r="H285" s="2"/>
    </row>
    <row r="286" spans="8:8">
      <c r="H286" s="2"/>
    </row>
    <row r="287" spans="8:8">
      <c r="H287" s="2"/>
    </row>
    <row r="288" spans="8:8">
      <c r="H288" s="2"/>
    </row>
    <row r="289" spans="8:8">
      <c r="H289" s="2"/>
    </row>
    <row r="290" spans="8:8">
      <c r="H290" s="2"/>
    </row>
    <row r="291" spans="8:8">
      <c r="H291" s="2"/>
    </row>
    <row r="292" spans="8:8">
      <c r="H292" s="2"/>
    </row>
    <row r="293" spans="8:8">
      <c r="H293" s="2"/>
    </row>
    <row r="294" spans="8:8">
      <c r="H294" s="2"/>
    </row>
    <row r="295" spans="8:8">
      <c r="H295" s="2"/>
    </row>
    <row r="296" spans="8:8">
      <c r="H296" s="2"/>
    </row>
    <row r="297" spans="8:8">
      <c r="H297" s="2"/>
    </row>
    <row r="298" spans="8:8">
      <c r="H298" s="2"/>
    </row>
    <row r="299" spans="8:8">
      <c r="H299" s="2"/>
    </row>
    <row r="300" spans="8:8">
      <c r="H300" s="2"/>
    </row>
    <row r="301" spans="8:8">
      <c r="H301" s="2"/>
    </row>
    <row r="302" spans="8:8">
      <c r="H302" s="2"/>
    </row>
    <row r="303" spans="8:8">
      <c r="H303" s="2"/>
    </row>
    <row r="304" spans="8:8">
      <c r="H304" s="2"/>
    </row>
    <row r="305" spans="8:8">
      <c r="H305" s="2"/>
    </row>
    <row r="306" spans="8:8">
      <c r="H306" s="2"/>
    </row>
    <row r="307" spans="8:8">
      <c r="H307" s="2"/>
    </row>
    <row r="308" spans="8:8">
      <c r="H308" s="2"/>
    </row>
    <row r="309" spans="8:8">
      <c r="H309" s="2"/>
    </row>
    <row r="310" spans="8:8">
      <c r="H310" s="2"/>
    </row>
    <row r="311" spans="8:8">
      <c r="H311" s="2"/>
    </row>
    <row r="312" spans="8:8">
      <c r="H312" s="2"/>
    </row>
    <row r="313" spans="8:8">
      <c r="H313" s="2"/>
    </row>
    <row r="314" spans="8:8">
      <c r="H314" s="2"/>
    </row>
    <row r="315" spans="8:8">
      <c r="H315" s="2"/>
    </row>
    <row r="316" spans="8:8">
      <c r="H316" s="2"/>
    </row>
    <row r="317" spans="8:8">
      <c r="H317" s="2"/>
    </row>
    <row r="318" spans="8:8">
      <c r="H318" s="2"/>
    </row>
    <row r="319" spans="8:8">
      <c r="H319" s="2"/>
    </row>
    <row r="320" spans="8:8">
      <c r="H320" s="2"/>
    </row>
    <row r="321" spans="8:8">
      <c r="H321" s="2"/>
    </row>
    <row r="322" spans="8:8">
      <c r="H322" s="2"/>
    </row>
    <row r="323" spans="8:8">
      <c r="H323" s="2"/>
    </row>
    <row r="324" spans="8:8">
      <c r="H324" s="2"/>
    </row>
    <row r="325" spans="8:8">
      <c r="H325" s="2"/>
    </row>
    <row r="326" spans="8:8">
      <c r="H326" s="2"/>
    </row>
    <row r="327" spans="8:8">
      <c r="H327" s="2"/>
    </row>
    <row r="328" spans="8:8">
      <c r="H328" s="2"/>
    </row>
    <row r="329" spans="8:8">
      <c r="H329" s="2"/>
    </row>
    <row r="330" spans="8:8">
      <c r="H330" s="2"/>
    </row>
    <row r="331" spans="8:8">
      <c r="H331" s="2"/>
    </row>
    <row r="332" spans="8:8">
      <c r="H332" s="2"/>
    </row>
    <row r="333" spans="8:8">
      <c r="H333" s="2"/>
    </row>
    <row r="334" spans="8:8">
      <c r="H334" s="2"/>
    </row>
    <row r="335" spans="8:8">
      <c r="H335" s="2"/>
    </row>
    <row r="336" spans="8:8">
      <c r="H336" s="2"/>
    </row>
    <row r="337" spans="8:8">
      <c r="H337" s="2"/>
    </row>
    <row r="338" spans="8:8">
      <c r="H338" s="2"/>
    </row>
    <row r="339" spans="8:8">
      <c r="H339" s="2"/>
    </row>
    <row r="340" spans="8:8">
      <c r="H340" s="2"/>
    </row>
    <row r="341" spans="8:8">
      <c r="H341" s="2"/>
    </row>
    <row r="342" spans="8:8">
      <c r="H342" s="2"/>
    </row>
    <row r="343" spans="8:8">
      <c r="H343" s="2"/>
    </row>
    <row r="344" spans="8:8">
      <c r="H344" s="2"/>
    </row>
    <row r="345" spans="8:8">
      <c r="H345" s="2"/>
    </row>
    <row r="346" spans="8:8">
      <c r="H346" s="2"/>
    </row>
    <row r="347" spans="8:8">
      <c r="H347" s="2"/>
    </row>
    <row r="348" spans="8:8">
      <c r="H348" s="2"/>
    </row>
    <row r="349" spans="8:8">
      <c r="H349" s="2"/>
    </row>
    <row r="350" spans="8:8">
      <c r="H350" s="2"/>
    </row>
    <row r="351" spans="8:8">
      <c r="H351" s="2"/>
    </row>
    <row r="352" spans="8:8">
      <c r="H352" s="2"/>
    </row>
    <row r="353" spans="8:8">
      <c r="H353" s="2"/>
    </row>
    <row r="354" spans="8:8">
      <c r="H354" s="2"/>
    </row>
    <row r="355" spans="8:8">
      <c r="H355" s="2"/>
    </row>
    <row r="356" spans="8:8">
      <c r="H356" s="2"/>
    </row>
    <row r="357" spans="8:8">
      <c r="H357" s="2"/>
    </row>
    <row r="358" spans="8:8">
      <c r="H358" s="2"/>
    </row>
    <row r="359" spans="8:8">
      <c r="H359" s="2"/>
    </row>
    <row r="360" spans="8:8">
      <c r="H360" s="2"/>
    </row>
    <row r="361" spans="8:8">
      <c r="H361" s="2"/>
    </row>
    <row r="362" spans="8:8">
      <c r="H362" s="2"/>
    </row>
    <row r="363" spans="8:8">
      <c r="H363" s="2"/>
    </row>
    <row r="364" spans="8:8">
      <c r="H364" s="2"/>
    </row>
    <row r="365" spans="8:8">
      <c r="H365" s="2"/>
    </row>
    <row r="366" spans="8:8">
      <c r="H366" s="2"/>
    </row>
    <row r="367" spans="8:8">
      <c r="H367" s="2"/>
    </row>
    <row r="368" spans="8:8">
      <c r="H368" s="2"/>
    </row>
    <row r="369" spans="8:8">
      <c r="H369" s="2"/>
    </row>
    <row r="370" spans="8:8">
      <c r="H370" s="2"/>
    </row>
    <row r="371" spans="8:8">
      <c r="H371" s="2"/>
    </row>
    <row r="372" spans="8:8">
      <c r="H372" s="2"/>
    </row>
    <row r="373" spans="8:8">
      <c r="H373" s="2"/>
    </row>
    <row r="374" spans="8:8">
      <c r="H374" s="2"/>
    </row>
    <row r="375" spans="8:8">
      <c r="H375" s="2"/>
    </row>
    <row r="376" spans="8:8">
      <c r="H376" s="2"/>
    </row>
    <row r="377" spans="8:8">
      <c r="H377" s="2"/>
    </row>
    <row r="378" spans="8:8">
      <c r="H378" s="2"/>
    </row>
    <row r="379" spans="8:8">
      <c r="H379" s="2"/>
    </row>
    <row r="380" spans="8:8">
      <c r="H380" s="2"/>
    </row>
    <row r="381" spans="8:8">
      <c r="H381" s="2"/>
    </row>
    <row r="382" spans="8:8">
      <c r="H382" s="2"/>
    </row>
    <row r="383" spans="8:8">
      <c r="H383" s="2"/>
    </row>
    <row r="384" spans="8:8">
      <c r="H384" s="2"/>
    </row>
    <row r="385" spans="8:8">
      <c r="H385" s="2"/>
    </row>
    <row r="386" spans="8:8">
      <c r="H386" s="2"/>
    </row>
    <row r="387" spans="8:8">
      <c r="H387" s="2"/>
    </row>
    <row r="388" spans="8:8">
      <c r="H388" s="2"/>
    </row>
    <row r="389" spans="8:8">
      <c r="H389" s="2"/>
    </row>
    <row r="390" spans="8:8">
      <c r="H390" s="2"/>
    </row>
    <row r="391" spans="8:8">
      <c r="H391" s="2"/>
    </row>
    <row r="392" spans="8:8">
      <c r="H392" s="2"/>
    </row>
    <row r="393" spans="8:8">
      <c r="H393" s="2"/>
    </row>
    <row r="394" spans="8:8">
      <c r="H394" s="2"/>
    </row>
    <row r="395" spans="8:8">
      <c r="H395" s="2"/>
    </row>
    <row r="396" spans="8:8">
      <c r="H396" s="2"/>
    </row>
    <row r="397" spans="8:8">
      <c r="H397" s="2"/>
    </row>
    <row r="398" spans="8:8">
      <c r="H398" s="2"/>
    </row>
    <row r="399" spans="8:8">
      <c r="H399" s="2"/>
    </row>
    <row r="400" spans="8:8">
      <c r="H400" s="2"/>
    </row>
    <row r="401" spans="8:8">
      <c r="H401" s="2"/>
    </row>
    <row r="402" spans="8:8">
      <c r="H402" s="2"/>
    </row>
    <row r="403" spans="8:8">
      <c r="H403" s="2"/>
    </row>
    <row r="404" spans="8:8">
      <c r="H404" s="2"/>
    </row>
    <row r="405" spans="8:8">
      <c r="H405" s="2"/>
    </row>
    <row r="406" spans="8:8">
      <c r="H406" s="2"/>
    </row>
    <row r="407" spans="8:8">
      <c r="H407" s="2"/>
    </row>
    <row r="408" spans="8:8">
      <c r="H408" s="2"/>
    </row>
    <row r="409" spans="8:8">
      <c r="H409" s="2"/>
    </row>
    <row r="410" spans="8:8">
      <c r="H410" s="2"/>
    </row>
    <row r="411" spans="8:8">
      <c r="H411" s="2"/>
    </row>
    <row r="412" spans="8:8">
      <c r="H412" s="2"/>
    </row>
    <row r="413" spans="8:8">
      <c r="H413" s="2"/>
    </row>
    <row r="414" spans="8:8">
      <c r="H414" s="2"/>
    </row>
    <row r="415" spans="8:8">
      <c r="H415" s="2"/>
    </row>
    <row r="416" spans="8:8">
      <c r="H416" s="2"/>
    </row>
    <row r="417" spans="8:8">
      <c r="H417" s="2"/>
    </row>
    <row r="418" spans="8:8">
      <c r="H418" s="2"/>
    </row>
    <row r="419" spans="8:8">
      <c r="H419" s="2"/>
    </row>
    <row r="420" spans="8:8">
      <c r="H420" s="2"/>
    </row>
    <row r="421" spans="8:8">
      <c r="H421" s="2"/>
    </row>
    <row r="422" spans="8:8">
      <c r="H422" s="2"/>
    </row>
    <row r="423" spans="8:8">
      <c r="H423" s="2"/>
    </row>
    <row r="424" spans="8:8">
      <c r="H424" s="2"/>
    </row>
    <row r="425" spans="8:8">
      <c r="H425" s="2"/>
    </row>
    <row r="426" spans="8:8">
      <c r="H426" s="2"/>
    </row>
    <row r="427" spans="8:8">
      <c r="H427" s="2"/>
    </row>
    <row r="428" spans="8:8">
      <c r="H428" s="2"/>
    </row>
    <row r="429" spans="8:8">
      <c r="H429" s="2"/>
    </row>
    <row r="430" spans="8:8">
      <c r="H430" s="2"/>
    </row>
    <row r="431" spans="8:8">
      <c r="H431" s="2"/>
    </row>
    <row r="432" spans="8:8">
      <c r="H432" s="2"/>
    </row>
    <row r="433" spans="8:8">
      <c r="H433" s="2"/>
    </row>
    <row r="434" spans="8:8">
      <c r="H434" s="2"/>
    </row>
    <row r="435" spans="8:8">
      <c r="H435" s="2"/>
    </row>
    <row r="436" spans="8:8">
      <c r="H436" s="2"/>
    </row>
    <row r="437" spans="8:8">
      <c r="H437" s="2"/>
    </row>
    <row r="438" spans="8:8">
      <c r="H438" s="2"/>
    </row>
    <row r="439" spans="8:8">
      <c r="H439" s="2"/>
    </row>
    <row r="440" spans="8:8">
      <c r="H440" s="2"/>
    </row>
    <row r="441" spans="8:8">
      <c r="H441" s="2"/>
    </row>
    <row r="442" spans="8:8">
      <c r="H442" s="2"/>
    </row>
    <row r="443" spans="8:8">
      <c r="H443" s="2"/>
    </row>
    <row r="444" spans="8:8">
      <c r="H444" s="2"/>
    </row>
    <row r="445" spans="8:8">
      <c r="H445" s="2"/>
    </row>
    <row r="446" spans="8:8">
      <c r="H446" s="2"/>
    </row>
    <row r="447" spans="8:8">
      <c r="H447" s="2"/>
    </row>
    <row r="448" spans="8:8">
      <c r="H448" s="2"/>
    </row>
    <row r="449" spans="8:8">
      <c r="H449" s="2"/>
    </row>
    <row r="450" spans="8:8">
      <c r="H450" s="2"/>
    </row>
    <row r="451" spans="8:8">
      <c r="H451" s="2"/>
    </row>
    <row r="452" spans="8:8">
      <c r="H452" s="2"/>
    </row>
    <row r="453" spans="8:8">
      <c r="H453" s="2"/>
    </row>
    <row r="454" spans="8:8">
      <c r="H454" s="2"/>
    </row>
    <row r="455" spans="8:8">
      <c r="H455" s="2"/>
    </row>
    <row r="456" spans="8:8">
      <c r="H456" s="2"/>
    </row>
    <row r="457" spans="8:8">
      <c r="H457" s="2"/>
    </row>
    <row r="458" spans="8:8">
      <c r="H458" s="2"/>
    </row>
    <row r="459" spans="8:8">
      <c r="H459" s="2"/>
    </row>
    <row r="460" spans="8:8">
      <c r="H460" s="2"/>
    </row>
    <row r="461" spans="8:8">
      <c r="H461" s="2"/>
    </row>
    <row r="462" spans="8:8">
      <c r="H462" s="2"/>
    </row>
    <row r="463" spans="8:8">
      <c r="H463" s="2"/>
    </row>
    <row r="464" spans="8:8">
      <c r="H464" s="2"/>
    </row>
    <row r="465" spans="8:8">
      <c r="H465" s="2"/>
    </row>
    <row r="466" spans="8:8">
      <c r="H466" s="2"/>
    </row>
    <row r="467" spans="8:8">
      <c r="H467" s="2"/>
    </row>
    <row r="468" spans="8:8">
      <c r="H468" s="2"/>
    </row>
    <row r="469" spans="8:8">
      <c r="H469" s="2"/>
    </row>
    <row r="470" spans="8:8">
      <c r="H470" s="2"/>
    </row>
    <row r="471" spans="8:8">
      <c r="H471" s="2"/>
    </row>
    <row r="472" spans="8:8">
      <c r="H472" s="2"/>
    </row>
    <row r="473" spans="8:8">
      <c r="H473" s="2"/>
    </row>
    <row r="474" spans="8:8">
      <c r="H474" s="2"/>
    </row>
    <row r="475" spans="8:8">
      <c r="H475" s="2"/>
    </row>
    <row r="476" spans="8:8">
      <c r="H476" s="2"/>
    </row>
    <row r="477" spans="8:8">
      <c r="H477" s="2"/>
    </row>
    <row r="478" spans="8:8">
      <c r="H478" s="2"/>
    </row>
    <row r="479" spans="8:8">
      <c r="H479" s="2"/>
    </row>
    <row r="480" spans="8:8">
      <c r="H480" s="2"/>
    </row>
    <row r="481" spans="8:8">
      <c r="H481" s="2"/>
    </row>
    <row r="482" spans="8:8">
      <c r="H482" s="2"/>
    </row>
    <row r="483" spans="8:8">
      <c r="H483" s="2"/>
    </row>
    <row r="484" spans="8:8">
      <c r="H484" s="2"/>
    </row>
    <row r="485" spans="8:8">
      <c r="H485" s="2"/>
    </row>
    <row r="486" spans="8:8">
      <c r="H486" s="2"/>
    </row>
    <row r="487" spans="8:8">
      <c r="H487" s="2"/>
    </row>
    <row r="488" spans="8:8">
      <c r="H488" s="2"/>
    </row>
    <row r="489" spans="8:8">
      <c r="H489" s="2"/>
    </row>
    <row r="490" spans="8:8">
      <c r="H490" s="2"/>
    </row>
    <row r="491" spans="8:8">
      <c r="H491" s="2"/>
    </row>
    <row r="492" spans="8:8">
      <c r="H492" s="2"/>
    </row>
    <row r="493" spans="8:8">
      <c r="H493" s="2"/>
    </row>
    <row r="494" spans="8:8">
      <c r="H494" s="2"/>
    </row>
    <row r="495" spans="8:8">
      <c r="H495" s="2"/>
    </row>
    <row r="496" spans="8:8">
      <c r="H496" s="2"/>
    </row>
    <row r="497" spans="8:8">
      <c r="H497" s="2"/>
    </row>
    <row r="498" spans="8:8">
      <c r="H498" s="2"/>
    </row>
    <row r="499" spans="8:8">
      <c r="H499" s="2"/>
    </row>
    <row r="500" spans="8:8">
      <c r="H500" s="2"/>
    </row>
    <row r="501" spans="8:8">
      <c r="H501" s="2"/>
    </row>
    <row r="502" spans="8:8">
      <c r="H502" s="2"/>
    </row>
    <row r="503" spans="8:8">
      <c r="H503" s="2"/>
    </row>
    <row r="504" spans="8:8">
      <c r="H504" s="2"/>
    </row>
    <row r="505" spans="8:8">
      <c r="H505" s="2"/>
    </row>
    <row r="506" spans="8:8">
      <c r="H506" s="2"/>
    </row>
    <row r="507" spans="8:8">
      <c r="H507" s="2"/>
    </row>
    <row r="508" spans="8:8">
      <c r="H508" s="2"/>
    </row>
    <row r="509" spans="8:8">
      <c r="H509" s="2"/>
    </row>
    <row r="510" spans="8:8">
      <c r="H510" s="2"/>
    </row>
    <row r="511" spans="8:8">
      <c r="H511" s="2"/>
    </row>
    <row r="512" spans="8:8">
      <c r="H512" s="2"/>
    </row>
    <row r="513" spans="8:8">
      <c r="H513" s="2"/>
    </row>
    <row r="514" spans="8:8">
      <c r="H514" s="2"/>
    </row>
    <row r="515" spans="8:8">
      <c r="H515" s="2"/>
    </row>
    <row r="516" spans="8:8">
      <c r="H516" s="2"/>
    </row>
    <row r="517" spans="8:8">
      <c r="H517" s="2"/>
    </row>
    <row r="518" spans="8:8">
      <c r="H518" s="2"/>
    </row>
    <row r="519" spans="8:8">
      <c r="H519" s="2"/>
    </row>
    <row r="520" spans="8:8">
      <c r="H520" s="2"/>
    </row>
    <row r="521" spans="8:8">
      <c r="H521" s="2"/>
    </row>
    <row r="522" spans="8:8">
      <c r="H522" s="2"/>
    </row>
    <row r="523" spans="8:8">
      <c r="H523" s="2"/>
    </row>
    <row r="524" spans="8:8">
      <c r="H524" s="2"/>
    </row>
    <row r="525" spans="8:8">
      <c r="H525" s="2"/>
    </row>
    <row r="526" spans="8:8">
      <c r="H526" s="2"/>
    </row>
    <row r="527" spans="8:8">
      <c r="H527" s="2"/>
    </row>
    <row r="528" spans="8:8">
      <c r="H528" s="2"/>
    </row>
    <row r="529" spans="8:8">
      <c r="H529" s="2"/>
    </row>
    <row r="530" spans="8:8">
      <c r="H530" s="2"/>
    </row>
    <row r="531" spans="8:8">
      <c r="H531" s="2"/>
    </row>
    <row r="532" spans="8:8">
      <c r="H532" s="2"/>
    </row>
    <row r="533" spans="8:8">
      <c r="H533" s="2"/>
    </row>
    <row r="534" spans="8:8">
      <c r="H534" s="2"/>
    </row>
    <row r="535" spans="8:8">
      <c r="H535" s="2"/>
    </row>
    <row r="536" spans="8:8">
      <c r="H536" s="2"/>
    </row>
    <row r="537" spans="8:8">
      <c r="H537" s="2"/>
    </row>
    <row r="538" spans="8:8">
      <c r="H538" s="2"/>
    </row>
    <row r="539" spans="8:8">
      <c r="H539" s="2"/>
    </row>
    <row r="540" spans="8:8">
      <c r="H540" s="2"/>
    </row>
    <row r="541" spans="8:8">
      <c r="H541" s="2"/>
    </row>
    <row r="542" spans="8:8">
      <c r="H542" s="2"/>
    </row>
    <row r="543" spans="8:8">
      <c r="H543" s="2"/>
    </row>
    <row r="544" spans="8:8">
      <c r="H544" s="2"/>
    </row>
    <row r="545" spans="8:8">
      <c r="H545" s="2"/>
    </row>
    <row r="546" spans="8:8">
      <c r="H546" s="2"/>
    </row>
    <row r="547" spans="8:8">
      <c r="H547" s="2"/>
    </row>
  </sheetData>
  <mergeCells count="3">
    <mergeCell ref="C2:E2"/>
    <mergeCell ref="C5:E5"/>
    <mergeCell ref="D15:E15"/>
  </mergeCells>
  <printOptions horizontalCentered="1"/>
  <pageMargins left="0.34" right="0.28999999999999998" top="0.38" bottom="0.43" header="0.25" footer="0"/>
  <pageSetup paperSize="17" scale="31" orientation="landscape" r:id="rId1"/>
  <headerFooter alignWithMargins="0">
    <oddFooter xml:space="preserve">&amp;L&amp;"Arial,Regular"           Davidson Benefits Planning - An Alera Group Company 
&amp;C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0F257-36EA-4103-A0DA-F3ED0F146785}">
  <dimension ref="A1:S547"/>
  <sheetViews>
    <sheetView showGridLines="0" topLeftCell="C13" zoomScale="70" zoomScaleNormal="70" zoomScaleSheetLayoutView="75" workbookViewId="0">
      <selection activeCell="G35" sqref="G35:H35"/>
    </sheetView>
  </sheetViews>
  <sheetFormatPr defaultColWidth="10.21875" defaultRowHeight="15"/>
  <cols>
    <col min="1" max="1" width="11.33203125" style="2" hidden="1" customWidth="1"/>
    <col min="2" max="2" width="12.109375" style="2" hidden="1" customWidth="1"/>
    <col min="3" max="3" width="9.109375" style="2" customWidth="1"/>
    <col min="4" max="4" width="81.88671875" style="2" customWidth="1"/>
    <col min="5" max="5" width="33.77734375" style="2" customWidth="1"/>
    <col min="6" max="6" width="2.6640625" style="2" customWidth="1"/>
    <col min="7" max="7" width="19.109375" style="2" customWidth="1"/>
    <col min="8" max="8" width="2.33203125" style="3" customWidth="1"/>
    <col min="9" max="9" width="19.109375" style="2" customWidth="1"/>
    <col min="10" max="10" width="2.33203125" style="2" customWidth="1"/>
    <col min="11" max="11" width="19.109375" style="2" customWidth="1"/>
    <col min="12" max="12" width="4.6640625" style="2" customWidth="1"/>
    <col min="13" max="14" width="17.77734375" style="2" customWidth="1"/>
    <col min="15" max="15" width="10.21875" style="2" customWidth="1"/>
    <col min="16" max="16" width="22.77734375" style="2" hidden="1" customWidth="1"/>
    <col min="17" max="18" width="22.33203125" style="55" hidden="1" customWidth="1"/>
    <col min="19" max="19" width="8.33203125" style="2" customWidth="1"/>
    <col min="20" max="20" width="10.21875" style="2" customWidth="1"/>
    <col min="21" max="240" width="10.21875" style="2"/>
    <col min="241" max="242" width="0" style="2" hidden="1" customWidth="1"/>
    <col min="243" max="243" width="7.6640625" style="2" customWidth="1"/>
    <col min="244" max="244" width="4.21875" style="2" customWidth="1"/>
    <col min="245" max="245" width="98" style="2" customWidth="1"/>
    <col min="246" max="246" width="16.109375" style="2" customWidth="1"/>
    <col min="247" max="247" width="1.88671875" style="2" customWidth="1"/>
    <col min="248" max="248" width="15.88671875" style="2" customWidth="1"/>
    <col min="249" max="249" width="1.88671875" style="2" customWidth="1"/>
    <col min="250" max="250" width="13.33203125" style="2" customWidth="1"/>
    <col min="251" max="251" width="1.88671875" style="2" customWidth="1"/>
    <col min="252" max="252" width="13.33203125" style="2" customWidth="1"/>
    <col min="253" max="253" width="2.33203125" style="2" customWidth="1"/>
    <col min="254" max="254" width="2.109375" style="2" customWidth="1"/>
    <col min="255" max="255" width="16.77734375" style="2" customWidth="1"/>
    <col min="256" max="256" width="13.6640625" style="2" customWidth="1"/>
    <col min="257" max="266" width="8.6640625" style="2" customWidth="1"/>
    <col min="267" max="267" width="20.77734375" style="2" customWidth="1"/>
    <col min="268" max="496" width="10.21875" style="2"/>
    <col min="497" max="498" width="0" style="2" hidden="1" customWidth="1"/>
    <col min="499" max="499" width="7.6640625" style="2" customWidth="1"/>
    <col min="500" max="500" width="4.21875" style="2" customWidth="1"/>
    <col min="501" max="501" width="98" style="2" customWidth="1"/>
    <col min="502" max="502" width="16.109375" style="2" customWidth="1"/>
    <col min="503" max="503" width="1.88671875" style="2" customWidth="1"/>
    <col min="504" max="504" width="15.88671875" style="2" customWidth="1"/>
    <col min="505" max="505" width="1.88671875" style="2" customWidth="1"/>
    <col min="506" max="506" width="13.33203125" style="2" customWidth="1"/>
    <col min="507" max="507" width="1.88671875" style="2" customWidth="1"/>
    <col min="508" max="508" width="13.33203125" style="2" customWidth="1"/>
    <col min="509" max="509" width="2.33203125" style="2" customWidth="1"/>
    <col min="510" max="510" width="2.109375" style="2" customWidth="1"/>
    <col min="511" max="511" width="16.77734375" style="2" customWidth="1"/>
    <col min="512" max="512" width="13.6640625" style="2" customWidth="1"/>
    <col min="513" max="522" width="8.6640625" style="2" customWidth="1"/>
    <col min="523" max="523" width="20.77734375" style="2" customWidth="1"/>
    <col min="524" max="752" width="10.21875" style="2"/>
    <col min="753" max="754" width="0" style="2" hidden="1" customWidth="1"/>
    <col min="755" max="755" width="7.6640625" style="2" customWidth="1"/>
    <col min="756" max="756" width="4.21875" style="2" customWidth="1"/>
    <col min="757" max="757" width="98" style="2" customWidth="1"/>
    <col min="758" max="758" width="16.109375" style="2" customWidth="1"/>
    <col min="759" max="759" width="1.88671875" style="2" customWidth="1"/>
    <col min="760" max="760" width="15.88671875" style="2" customWidth="1"/>
    <col min="761" max="761" width="1.88671875" style="2" customWidth="1"/>
    <col min="762" max="762" width="13.33203125" style="2" customWidth="1"/>
    <col min="763" max="763" width="1.88671875" style="2" customWidth="1"/>
    <col min="764" max="764" width="13.33203125" style="2" customWidth="1"/>
    <col min="765" max="765" width="2.33203125" style="2" customWidth="1"/>
    <col min="766" max="766" width="2.109375" style="2" customWidth="1"/>
    <col min="767" max="767" width="16.77734375" style="2" customWidth="1"/>
    <col min="768" max="768" width="13.6640625" style="2" customWidth="1"/>
    <col min="769" max="778" width="8.6640625" style="2" customWidth="1"/>
    <col min="779" max="779" width="20.77734375" style="2" customWidth="1"/>
    <col min="780" max="1008" width="10.21875" style="2"/>
    <col min="1009" max="1010" width="0" style="2" hidden="1" customWidth="1"/>
    <col min="1011" max="1011" width="7.6640625" style="2" customWidth="1"/>
    <col min="1012" max="1012" width="4.21875" style="2" customWidth="1"/>
    <col min="1013" max="1013" width="98" style="2" customWidth="1"/>
    <col min="1014" max="1014" width="16.109375" style="2" customWidth="1"/>
    <col min="1015" max="1015" width="1.88671875" style="2" customWidth="1"/>
    <col min="1016" max="1016" width="15.88671875" style="2" customWidth="1"/>
    <col min="1017" max="1017" width="1.88671875" style="2" customWidth="1"/>
    <col min="1018" max="1018" width="13.33203125" style="2" customWidth="1"/>
    <col min="1019" max="1019" width="1.88671875" style="2" customWidth="1"/>
    <col min="1020" max="1020" width="13.33203125" style="2" customWidth="1"/>
    <col min="1021" max="1021" width="2.33203125" style="2" customWidth="1"/>
    <col min="1022" max="1022" width="2.109375" style="2" customWidth="1"/>
    <col min="1023" max="1023" width="16.77734375" style="2" customWidth="1"/>
    <col min="1024" max="1024" width="13.6640625" style="2" customWidth="1"/>
    <col min="1025" max="1034" width="8.6640625" style="2" customWidth="1"/>
    <col min="1035" max="1035" width="20.77734375" style="2" customWidth="1"/>
    <col min="1036" max="1264" width="10.21875" style="2"/>
    <col min="1265" max="1266" width="0" style="2" hidden="1" customWidth="1"/>
    <col min="1267" max="1267" width="7.6640625" style="2" customWidth="1"/>
    <col min="1268" max="1268" width="4.21875" style="2" customWidth="1"/>
    <col min="1269" max="1269" width="98" style="2" customWidth="1"/>
    <col min="1270" max="1270" width="16.109375" style="2" customWidth="1"/>
    <col min="1271" max="1271" width="1.88671875" style="2" customWidth="1"/>
    <col min="1272" max="1272" width="15.88671875" style="2" customWidth="1"/>
    <col min="1273" max="1273" width="1.88671875" style="2" customWidth="1"/>
    <col min="1274" max="1274" width="13.33203125" style="2" customWidth="1"/>
    <col min="1275" max="1275" width="1.88671875" style="2" customWidth="1"/>
    <col min="1276" max="1276" width="13.33203125" style="2" customWidth="1"/>
    <col min="1277" max="1277" width="2.33203125" style="2" customWidth="1"/>
    <col min="1278" max="1278" width="2.109375" style="2" customWidth="1"/>
    <col min="1279" max="1279" width="16.77734375" style="2" customWidth="1"/>
    <col min="1280" max="1280" width="13.6640625" style="2" customWidth="1"/>
    <col min="1281" max="1290" width="8.6640625" style="2" customWidth="1"/>
    <col min="1291" max="1291" width="20.77734375" style="2" customWidth="1"/>
    <col min="1292" max="1520" width="10.21875" style="2"/>
    <col min="1521" max="1522" width="0" style="2" hidden="1" customWidth="1"/>
    <col min="1523" max="1523" width="7.6640625" style="2" customWidth="1"/>
    <col min="1524" max="1524" width="4.21875" style="2" customWidth="1"/>
    <col min="1525" max="1525" width="98" style="2" customWidth="1"/>
    <col min="1526" max="1526" width="16.109375" style="2" customWidth="1"/>
    <col min="1527" max="1527" width="1.88671875" style="2" customWidth="1"/>
    <col min="1528" max="1528" width="15.88671875" style="2" customWidth="1"/>
    <col min="1529" max="1529" width="1.88671875" style="2" customWidth="1"/>
    <col min="1530" max="1530" width="13.33203125" style="2" customWidth="1"/>
    <col min="1531" max="1531" width="1.88671875" style="2" customWidth="1"/>
    <col min="1532" max="1532" width="13.33203125" style="2" customWidth="1"/>
    <col min="1533" max="1533" width="2.33203125" style="2" customWidth="1"/>
    <col min="1534" max="1534" width="2.109375" style="2" customWidth="1"/>
    <col min="1535" max="1535" width="16.77734375" style="2" customWidth="1"/>
    <col min="1536" max="1536" width="13.6640625" style="2" customWidth="1"/>
    <col min="1537" max="1546" width="8.6640625" style="2" customWidth="1"/>
    <col min="1547" max="1547" width="20.77734375" style="2" customWidth="1"/>
    <col min="1548" max="1776" width="10.21875" style="2"/>
    <col min="1777" max="1778" width="0" style="2" hidden="1" customWidth="1"/>
    <col min="1779" max="1779" width="7.6640625" style="2" customWidth="1"/>
    <col min="1780" max="1780" width="4.21875" style="2" customWidth="1"/>
    <col min="1781" max="1781" width="98" style="2" customWidth="1"/>
    <col min="1782" max="1782" width="16.109375" style="2" customWidth="1"/>
    <col min="1783" max="1783" width="1.88671875" style="2" customWidth="1"/>
    <col min="1784" max="1784" width="15.88671875" style="2" customWidth="1"/>
    <col min="1785" max="1785" width="1.88671875" style="2" customWidth="1"/>
    <col min="1786" max="1786" width="13.33203125" style="2" customWidth="1"/>
    <col min="1787" max="1787" width="1.88671875" style="2" customWidth="1"/>
    <col min="1788" max="1788" width="13.33203125" style="2" customWidth="1"/>
    <col min="1789" max="1789" width="2.33203125" style="2" customWidth="1"/>
    <col min="1790" max="1790" width="2.109375" style="2" customWidth="1"/>
    <col min="1791" max="1791" width="16.77734375" style="2" customWidth="1"/>
    <col min="1792" max="1792" width="13.6640625" style="2" customWidth="1"/>
    <col min="1793" max="1802" width="8.6640625" style="2" customWidth="1"/>
    <col min="1803" max="1803" width="20.77734375" style="2" customWidth="1"/>
    <col min="1804" max="2032" width="10.21875" style="2"/>
    <col min="2033" max="2034" width="0" style="2" hidden="1" customWidth="1"/>
    <col min="2035" max="2035" width="7.6640625" style="2" customWidth="1"/>
    <col min="2036" max="2036" width="4.21875" style="2" customWidth="1"/>
    <col min="2037" max="2037" width="98" style="2" customWidth="1"/>
    <col min="2038" max="2038" width="16.109375" style="2" customWidth="1"/>
    <col min="2039" max="2039" width="1.88671875" style="2" customWidth="1"/>
    <col min="2040" max="2040" width="15.88671875" style="2" customWidth="1"/>
    <col min="2041" max="2041" width="1.88671875" style="2" customWidth="1"/>
    <col min="2042" max="2042" width="13.33203125" style="2" customWidth="1"/>
    <col min="2043" max="2043" width="1.88671875" style="2" customWidth="1"/>
    <col min="2044" max="2044" width="13.33203125" style="2" customWidth="1"/>
    <col min="2045" max="2045" width="2.33203125" style="2" customWidth="1"/>
    <col min="2046" max="2046" width="2.109375" style="2" customWidth="1"/>
    <col min="2047" max="2047" width="16.77734375" style="2" customWidth="1"/>
    <col min="2048" max="2048" width="13.6640625" style="2" customWidth="1"/>
    <col min="2049" max="2058" width="8.6640625" style="2" customWidth="1"/>
    <col min="2059" max="2059" width="20.77734375" style="2" customWidth="1"/>
    <col min="2060" max="2288" width="10.21875" style="2"/>
    <col min="2289" max="2290" width="0" style="2" hidden="1" customWidth="1"/>
    <col min="2291" max="2291" width="7.6640625" style="2" customWidth="1"/>
    <col min="2292" max="2292" width="4.21875" style="2" customWidth="1"/>
    <col min="2293" max="2293" width="98" style="2" customWidth="1"/>
    <col min="2294" max="2294" width="16.109375" style="2" customWidth="1"/>
    <col min="2295" max="2295" width="1.88671875" style="2" customWidth="1"/>
    <col min="2296" max="2296" width="15.88671875" style="2" customWidth="1"/>
    <col min="2297" max="2297" width="1.88671875" style="2" customWidth="1"/>
    <col min="2298" max="2298" width="13.33203125" style="2" customWidth="1"/>
    <col min="2299" max="2299" width="1.88671875" style="2" customWidth="1"/>
    <col min="2300" max="2300" width="13.33203125" style="2" customWidth="1"/>
    <col min="2301" max="2301" width="2.33203125" style="2" customWidth="1"/>
    <col min="2302" max="2302" width="2.109375" style="2" customWidth="1"/>
    <col min="2303" max="2303" width="16.77734375" style="2" customWidth="1"/>
    <col min="2304" max="2304" width="13.6640625" style="2" customWidth="1"/>
    <col min="2305" max="2314" width="8.6640625" style="2" customWidth="1"/>
    <col min="2315" max="2315" width="20.77734375" style="2" customWidth="1"/>
    <col min="2316" max="2544" width="10.21875" style="2"/>
    <col min="2545" max="2546" width="0" style="2" hidden="1" customWidth="1"/>
    <col min="2547" max="2547" width="7.6640625" style="2" customWidth="1"/>
    <col min="2548" max="2548" width="4.21875" style="2" customWidth="1"/>
    <col min="2549" max="2549" width="98" style="2" customWidth="1"/>
    <col min="2550" max="2550" width="16.109375" style="2" customWidth="1"/>
    <col min="2551" max="2551" width="1.88671875" style="2" customWidth="1"/>
    <col min="2552" max="2552" width="15.88671875" style="2" customWidth="1"/>
    <col min="2553" max="2553" width="1.88671875" style="2" customWidth="1"/>
    <col min="2554" max="2554" width="13.33203125" style="2" customWidth="1"/>
    <col min="2555" max="2555" width="1.88671875" style="2" customWidth="1"/>
    <col min="2556" max="2556" width="13.33203125" style="2" customWidth="1"/>
    <col min="2557" max="2557" width="2.33203125" style="2" customWidth="1"/>
    <col min="2558" max="2558" width="2.109375" style="2" customWidth="1"/>
    <col min="2559" max="2559" width="16.77734375" style="2" customWidth="1"/>
    <col min="2560" max="2560" width="13.6640625" style="2" customWidth="1"/>
    <col min="2561" max="2570" width="8.6640625" style="2" customWidth="1"/>
    <col min="2571" max="2571" width="20.77734375" style="2" customWidth="1"/>
    <col min="2572" max="2800" width="10.21875" style="2"/>
    <col min="2801" max="2802" width="0" style="2" hidden="1" customWidth="1"/>
    <col min="2803" max="2803" width="7.6640625" style="2" customWidth="1"/>
    <col min="2804" max="2804" width="4.21875" style="2" customWidth="1"/>
    <col min="2805" max="2805" width="98" style="2" customWidth="1"/>
    <col min="2806" max="2806" width="16.109375" style="2" customWidth="1"/>
    <col min="2807" max="2807" width="1.88671875" style="2" customWidth="1"/>
    <col min="2808" max="2808" width="15.88671875" style="2" customWidth="1"/>
    <col min="2809" max="2809" width="1.88671875" style="2" customWidth="1"/>
    <col min="2810" max="2810" width="13.33203125" style="2" customWidth="1"/>
    <col min="2811" max="2811" width="1.88671875" style="2" customWidth="1"/>
    <col min="2812" max="2812" width="13.33203125" style="2" customWidth="1"/>
    <col min="2813" max="2813" width="2.33203125" style="2" customWidth="1"/>
    <col min="2814" max="2814" width="2.109375" style="2" customWidth="1"/>
    <col min="2815" max="2815" width="16.77734375" style="2" customWidth="1"/>
    <col min="2816" max="2816" width="13.6640625" style="2" customWidth="1"/>
    <col min="2817" max="2826" width="8.6640625" style="2" customWidth="1"/>
    <col min="2827" max="2827" width="20.77734375" style="2" customWidth="1"/>
    <col min="2828" max="3056" width="10.21875" style="2"/>
    <col min="3057" max="3058" width="0" style="2" hidden="1" customWidth="1"/>
    <col min="3059" max="3059" width="7.6640625" style="2" customWidth="1"/>
    <col min="3060" max="3060" width="4.21875" style="2" customWidth="1"/>
    <col min="3061" max="3061" width="98" style="2" customWidth="1"/>
    <col min="3062" max="3062" width="16.109375" style="2" customWidth="1"/>
    <col min="3063" max="3063" width="1.88671875" style="2" customWidth="1"/>
    <col min="3064" max="3064" width="15.88671875" style="2" customWidth="1"/>
    <col min="3065" max="3065" width="1.88671875" style="2" customWidth="1"/>
    <col min="3066" max="3066" width="13.33203125" style="2" customWidth="1"/>
    <col min="3067" max="3067" width="1.88671875" style="2" customWidth="1"/>
    <col min="3068" max="3068" width="13.33203125" style="2" customWidth="1"/>
    <col min="3069" max="3069" width="2.33203125" style="2" customWidth="1"/>
    <col min="3070" max="3070" width="2.109375" style="2" customWidth="1"/>
    <col min="3071" max="3071" width="16.77734375" style="2" customWidth="1"/>
    <col min="3072" max="3072" width="13.6640625" style="2" customWidth="1"/>
    <col min="3073" max="3082" width="8.6640625" style="2" customWidth="1"/>
    <col min="3083" max="3083" width="20.77734375" style="2" customWidth="1"/>
    <col min="3084" max="3312" width="10.21875" style="2"/>
    <col min="3313" max="3314" width="0" style="2" hidden="1" customWidth="1"/>
    <col min="3315" max="3315" width="7.6640625" style="2" customWidth="1"/>
    <col min="3316" max="3316" width="4.21875" style="2" customWidth="1"/>
    <col min="3317" max="3317" width="98" style="2" customWidth="1"/>
    <col min="3318" max="3318" width="16.109375" style="2" customWidth="1"/>
    <col min="3319" max="3319" width="1.88671875" style="2" customWidth="1"/>
    <col min="3320" max="3320" width="15.88671875" style="2" customWidth="1"/>
    <col min="3321" max="3321" width="1.88671875" style="2" customWidth="1"/>
    <col min="3322" max="3322" width="13.33203125" style="2" customWidth="1"/>
    <col min="3323" max="3323" width="1.88671875" style="2" customWidth="1"/>
    <col min="3324" max="3324" width="13.33203125" style="2" customWidth="1"/>
    <col min="3325" max="3325" width="2.33203125" style="2" customWidth="1"/>
    <col min="3326" max="3326" width="2.109375" style="2" customWidth="1"/>
    <col min="3327" max="3327" width="16.77734375" style="2" customWidth="1"/>
    <col min="3328" max="3328" width="13.6640625" style="2" customWidth="1"/>
    <col min="3329" max="3338" width="8.6640625" style="2" customWidth="1"/>
    <col min="3339" max="3339" width="20.77734375" style="2" customWidth="1"/>
    <col min="3340" max="3568" width="10.21875" style="2"/>
    <col min="3569" max="3570" width="0" style="2" hidden="1" customWidth="1"/>
    <col min="3571" max="3571" width="7.6640625" style="2" customWidth="1"/>
    <col min="3572" max="3572" width="4.21875" style="2" customWidth="1"/>
    <col min="3573" max="3573" width="98" style="2" customWidth="1"/>
    <col min="3574" max="3574" width="16.109375" style="2" customWidth="1"/>
    <col min="3575" max="3575" width="1.88671875" style="2" customWidth="1"/>
    <col min="3576" max="3576" width="15.88671875" style="2" customWidth="1"/>
    <col min="3577" max="3577" width="1.88671875" style="2" customWidth="1"/>
    <col min="3578" max="3578" width="13.33203125" style="2" customWidth="1"/>
    <col min="3579" max="3579" width="1.88671875" style="2" customWidth="1"/>
    <col min="3580" max="3580" width="13.33203125" style="2" customWidth="1"/>
    <col min="3581" max="3581" width="2.33203125" style="2" customWidth="1"/>
    <col min="3582" max="3582" width="2.109375" style="2" customWidth="1"/>
    <col min="3583" max="3583" width="16.77734375" style="2" customWidth="1"/>
    <col min="3584" max="3584" width="13.6640625" style="2" customWidth="1"/>
    <col min="3585" max="3594" width="8.6640625" style="2" customWidth="1"/>
    <col min="3595" max="3595" width="20.77734375" style="2" customWidth="1"/>
    <col min="3596" max="3824" width="10.21875" style="2"/>
    <col min="3825" max="3826" width="0" style="2" hidden="1" customWidth="1"/>
    <col min="3827" max="3827" width="7.6640625" style="2" customWidth="1"/>
    <col min="3828" max="3828" width="4.21875" style="2" customWidth="1"/>
    <col min="3829" max="3829" width="98" style="2" customWidth="1"/>
    <col min="3830" max="3830" width="16.109375" style="2" customWidth="1"/>
    <col min="3831" max="3831" width="1.88671875" style="2" customWidth="1"/>
    <col min="3832" max="3832" width="15.88671875" style="2" customWidth="1"/>
    <col min="3833" max="3833" width="1.88671875" style="2" customWidth="1"/>
    <col min="3834" max="3834" width="13.33203125" style="2" customWidth="1"/>
    <col min="3835" max="3835" width="1.88671875" style="2" customWidth="1"/>
    <col min="3836" max="3836" width="13.33203125" style="2" customWidth="1"/>
    <col min="3837" max="3837" width="2.33203125" style="2" customWidth="1"/>
    <col min="3838" max="3838" width="2.109375" style="2" customWidth="1"/>
    <col min="3839" max="3839" width="16.77734375" style="2" customWidth="1"/>
    <col min="3840" max="3840" width="13.6640625" style="2" customWidth="1"/>
    <col min="3841" max="3850" width="8.6640625" style="2" customWidth="1"/>
    <col min="3851" max="3851" width="20.77734375" style="2" customWidth="1"/>
    <col min="3852" max="4080" width="10.21875" style="2"/>
    <col min="4081" max="4082" width="0" style="2" hidden="1" customWidth="1"/>
    <col min="4083" max="4083" width="7.6640625" style="2" customWidth="1"/>
    <col min="4084" max="4084" width="4.21875" style="2" customWidth="1"/>
    <col min="4085" max="4085" width="98" style="2" customWidth="1"/>
    <col min="4086" max="4086" width="16.109375" style="2" customWidth="1"/>
    <col min="4087" max="4087" width="1.88671875" style="2" customWidth="1"/>
    <col min="4088" max="4088" width="15.88671875" style="2" customWidth="1"/>
    <col min="4089" max="4089" width="1.88671875" style="2" customWidth="1"/>
    <col min="4090" max="4090" width="13.33203125" style="2" customWidth="1"/>
    <col min="4091" max="4091" width="1.88671875" style="2" customWidth="1"/>
    <col min="4092" max="4092" width="13.33203125" style="2" customWidth="1"/>
    <col min="4093" max="4093" width="2.33203125" style="2" customWidth="1"/>
    <col min="4094" max="4094" width="2.109375" style="2" customWidth="1"/>
    <col min="4095" max="4095" width="16.77734375" style="2" customWidth="1"/>
    <col min="4096" max="4096" width="13.6640625" style="2" customWidth="1"/>
    <col min="4097" max="4106" width="8.6640625" style="2" customWidth="1"/>
    <col min="4107" max="4107" width="20.77734375" style="2" customWidth="1"/>
    <col min="4108" max="4336" width="10.21875" style="2"/>
    <col min="4337" max="4338" width="0" style="2" hidden="1" customWidth="1"/>
    <col min="4339" max="4339" width="7.6640625" style="2" customWidth="1"/>
    <col min="4340" max="4340" width="4.21875" style="2" customWidth="1"/>
    <col min="4341" max="4341" width="98" style="2" customWidth="1"/>
    <col min="4342" max="4342" width="16.109375" style="2" customWidth="1"/>
    <col min="4343" max="4343" width="1.88671875" style="2" customWidth="1"/>
    <col min="4344" max="4344" width="15.88671875" style="2" customWidth="1"/>
    <col min="4345" max="4345" width="1.88671875" style="2" customWidth="1"/>
    <col min="4346" max="4346" width="13.33203125" style="2" customWidth="1"/>
    <col min="4347" max="4347" width="1.88671875" style="2" customWidth="1"/>
    <col min="4348" max="4348" width="13.33203125" style="2" customWidth="1"/>
    <col min="4349" max="4349" width="2.33203125" style="2" customWidth="1"/>
    <col min="4350" max="4350" width="2.109375" style="2" customWidth="1"/>
    <col min="4351" max="4351" width="16.77734375" style="2" customWidth="1"/>
    <col min="4352" max="4352" width="13.6640625" style="2" customWidth="1"/>
    <col min="4353" max="4362" width="8.6640625" style="2" customWidth="1"/>
    <col min="4363" max="4363" width="20.77734375" style="2" customWidth="1"/>
    <col min="4364" max="4592" width="10.21875" style="2"/>
    <col min="4593" max="4594" width="0" style="2" hidden="1" customWidth="1"/>
    <col min="4595" max="4595" width="7.6640625" style="2" customWidth="1"/>
    <col min="4596" max="4596" width="4.21875" style="2" customWidth="1"/>
    <col min="4597" max="4597" width="98" style="2" customWidth="1"/>
    <col min="4598" max="4598" width="16.109375" style="2" customWidth="1"/>
    <col min="4599" max="4599" width="1.88671875" style="2" customWidth="1"/>
    <col min="4600" max="4600" width="15.88671875" style="2" customWidth="1"/>
    <col min="4601" max="4601" width="1.88671875" style="2" customWidth="1"/>
    <col min="4602" max="4602" width="13.33203125" style="2" customWidth="1"/>
    <col min="4603" max="4603" width="1.88671875" style="2" customWidth="1"/>
    <col min="4604" max="4604" width="13.33203125" style="2" customWidth="1"/>
    <col min="4605" max="4605" width="2.33203125" style="2" customWidth="1"/>
    <col min="4606" max="4606" width="2.109375" style="2" customWidth="1"/>
    <col min="4607" max="4607" width="16.77734375" style="2" customWidth="1"/>
    <col min="4608" max="4608" width="13.6640625" style="2" customWidth="1"/>
    <col min="4609" max="4618" width="8.6640625" style="2" customWidth="1"/>
    <col min="4619" max="4619" width="20.77734375" style="2" customWidth="1"/>
    <col min="4620" max="4848" width="10.21875" style="2"/>
    <col min="4849" max="4850" width="0" style="2" hidden="1" customWidth="1"/>
    <col min="4851" max="4851" width="7.6640625" style="2" customWidth="1"/>
    <col min="4852" max="4852" width="4.21875" style="2" customWidth="1"/>
    <col min="4853" max="4853" width="98" style="2" customWidth="1"/>
    <col min="4854" max="4854" width="16.109375" style="2" customWidth="1"/>
    <col min="4855" max="4855" width="1.88671875" style="2" customWidth="1"/>
    <col min="4856" max="4856" width="15.88671875" style="2" customWidth="1"/>
    <col min="4857" max="4857" width="1.88671875" style="2" customWidth="1"/>
    <col min="4858" max="4858" width="13.33203125" style="2" customWidth="1"/>
    <col min="4859" max="4859" width="1.88671875" style="2" customWidth="1"/>
    <col min="4860" max="4860" width="13.33203125" style="2" customWidth="1"/>
    <col min="4861" max="4861" width="2.33203125" style="2" customWidth="1"/>
    <col min="4862" max="4862" width="2.109375" style="2" customWidth="1"/>
    <col min="4863" max="4863" width="16.77734375" style="2" customWidth="1"/>
    <col min="4864" max="4864" width="13.6640625" style="2" customWidth="1"/>
    <col min="4865" max="4874" width="8.6640625" style="2" customWidth="1"/>
    <col min="4875" max="4875" width="20.77734375" style="2" customWidth="1"/>
    <col min="4876" max="5104" width="10.21875" style="2"/>
    <col min="5105" max="5106" width="0" style="2" hidden="1" customWidth="1"/>
    <col min="5107" max="5107" width="7.6640625" style="2" customWidth="1"/>
    <col min="5108" max="5108" width="4.21875" style="2" customWidth="1"/>
    <col min="5109" max="5109" width="98" style="2" customWidth="1"/>
    <col min="5110" max="5110" width="16.109375" style="2" customWidth="1"/>
    <col min="5111" max="5111" width="1.88671875" style="2" customWidth="1"/>
    <col min="5112" max="5112" width="15.88671875" style="2" customWidth="1"/>
    <col min="5113" max="5113" width="1.88671875" style="2" customWidth="1"/>
    <col min="5114" max="5114" width="13.33203125" style="2" customWidth="1"/>
    <col min="5115" max="5115" width="1.88671875" style="2" customWidth="1"/>
    <col min="5116" max="5116" width="13.33203125" style="2" customWidth="1"/>
    <col min="5117" max="5117" width="2.33203125" style="2" customWidth="1"/>
    <col min="5118" max="5118" width="2.109375" style="2" customWidth="1"/>
    <col min="5119" max="5119" width="16.77734375" style="2" customWidth="1"/>
    <col min="5120" max="5120" width="13.6640625" style="2" customWidth="1"/>
    <col min="5121" max="5130" width="8.6640625" style="2" customWidth="1"/>
    <col min="5131" max="5131" width="20.77734375" style="2" customWidth="1"/>
    <col min="5132" max="5360" width="10.21875" style="2"/>
    <col min="5361" max="5362" width="0" style="2" hidden="1" customWidth="1"/>
    <col min="5363" max="5363" width="7.6640625" style="2" customWidth="1"/>
    <col min="5364" max="5364" width="4.21875" style="2" customWidth="1"/>
    <col min="5365" max="5365" width="98" style="2" customWidth="1"/>
    <col min="5366" max="5366" width="16.109375" style="2" customWidth="1"/>
    <col min="5367" max="5367" width="1.88671875" style="2" customWidth="1"/>
    <col min="5368" max="5368" width="15.88671875" style="2" customWidth="1"/>
    <col min="5369" max="5369" width="1.88671875" style="2" customWidth="1"/>
    <col min="5370" max="5370" width="13.33203125" style="2" customWidth="1"/>
    <col min="5371" max="5371" width="1.88671875" style="2" customWidth="1"/>
    <col min="5372" max="5372" width="13.33203125" style="2" customWidth="1"/>
    <col min="5373" max="5373" width="2.33203125" style="2" customWidth="1"/>
    <col min="5374" max="5374" width="2.109375" style="2" customWidth="1"/>
    <col min="5375" max="5375" width="16.77734375" style="2" customWidth="1"/>
    <col min="5376" max="5376" width="13.6640625" style="2" customWidth="1"/>
    <col min="5377" max="5386" width="8.6640625" style="2" customWidth="1"/>
    <col min="5387" max="5387" width="20.77734375" style="2" customWidth="1"/>
    <col min="5388" max="5616" width="10.21875" style="2"/>
    <col min="5617" max="5618" width="0" style="2" hidden="1" customWidth="1"/>
    <col min="5619" max="5619" width="7.6640625" style="2" customWidth="1"/>
    <col min="5620" max="5620" width="4.21875" style="2" customWidth="1"/>
    <col min="5621" max="5621" width="98" style="2" customWidth="1"/>
    <col min="5622" max="5622" width="16.109375" style="2" customWidth="1"/>
    <col min="5623" max="5623" width="1.88671875" style="2" customWidth="1"/>
    <col min="5624" max="5624" width="15.88671875" style="2" customWidth="1"/>
    <col min="5625" max="5625" width="1.88671875" style="2" customWidth="1"/>
    <col min="5626" max="5626" width="13.33203125" style="2" customWidth="1"/>
    <col min="5627" max="5627" width="1.88671875" style="2" customWidth="1"/>
    <col min="5628" max="5628" width="13.33203125" style="2" customWidth="1"/>
    <col min="5629" max="5629" width="2.33203125" style="2" customWidth="1"/>
    <col min="5630" max="5630" width="2.109375" style="2" customWidth="1"/>
    <col min="5631" max="5631" width="16.77734375" style="2" customWidth="1"/>
    <col min="5632" max="5632" width="13.6640625" style="2" customWidth="1"/>
    <col min="5633" max="5642" width="8.6640625" style="2" customWidth="1"/>
    <col min="5643" max="5643" width="20.77734375" style="2" customWidth="1"/>
    <col min="5644" max="5872" width="10.21875" style="2"/>
    <col min="5873" max="5874" width="0" style="2" hidden="1" customWidth="1"/>
    <col min="5875" max="5875" width="7.6640625" style="2" customWidth="1"/>
    <col min="5876" max="5876" width="4.21875" style="2" customWidth="1"/>
    <col min="5877" max="5877" width="98" style="2" customWidth="1"/>
    <col min="5878" max="5878" width="16.109375" style="2" customWidth="1"/>
    <col min="5879" max="5879" width="1.88671875" style="2" customWidth="1"/>
    <col min="5880" max="5880" width="15.88671875" style="2" customWidth="1"/>
    <col min="5881" max="5881" width="1.88671875" style="2" customWidth="1"/>
    <col min="5882" max="5882" width="13.33203125" style="2" customWidth="1"/>
    <col min="5883" max="5883" width="1.88671875" style="2" customWidth="1"/>
    <col min="5884" max="5884" width="13.33203125" style="2" customWidth="1"/>
    <col min="5885" max="5885" width="2.33203125" style="2" customWidth="1"/>
    <col min="5886" max="5886" width="2.109375" style="2" customWidth="1"/>
    <col min="5887" max="5887" width="16.77734375" style="2" customWidth="1"/>
    <col min="5888" max="5888" width="13.6640625" style="2" customWidth="1"/>
    <col min="5889" max="5898" width="8.6640625" style="2" customWidth="1"/>
    <col min="5899" max="5899" width="20.77734375" style="2" customWidth="1"/>
    <col min="5900" max="6128" width="10.21875" style="2"/>
    <col min="6129" max="6130" width="0" style="2" hidden="1" customWidth="1"/>
    <col min="6131" max="6131" width="7.6640625" style="2" customWidth="1"/>
    <col min="6132" max="6132" width="4.21875" style="2" customWidth="1"/>
    <col min="6133" max="6133" width="98" style="2" customWidth="1"/>
    <col min="6134" max="6134" width="16.109375" style="2" customWidth="1"/>
    <col min="6135" max="6135" width="1.88671875" style="2" customWidth="1"/>
    <col min="6136" max="6136" width="15.88671875" style="2" customWidth="1"/>
    <col min="6137" max="6137" width="1.88671875" style="2" customWidth="1"/>
    <col min="6138" max="6138" width="13.33203125" style="2" customWidth="1"/>
    <col min="6139" max="6139" width="1.88671875" style="2" customWidth="1"/>
    <col min="6140" max="6140" width="13.33203125" style="2" customWidth="1"/>
    <col min="6141" max="6141" width="2.33203125" style="2" customWidth="1"/>
    <col min="6142" max="6142" width="2.109375" style="2" customWidth="1"/>
    <col min="6143" max="6143" width="16.77734375" style="2" customWidth="1"/>
    <col min="6144" max="6144" width="13.6640625" style="2" customWidth="1"/>
    <col min="6145" max="6154" width="8.6640625" style="2" customWidth="1"/>
    <col min="6155" max="6155" width="20.77734375" style="2" customWidth="1"/>
    <col min="6156" max="6384" width="10.21875" style="2"/>
    <col min="6385" max="6386" width="0" style="2" hidden="1" customWidth="1"/>
    <col min="6387" max="6387" width="7.6640625" style="2" customWidth="1"/>
    <col min="6388" max="6388" width="4.21875" style="2" customWidth="1"/>
    <col min="6389" max="6389" width="98" style="2" customWidth="1"/>
    <col min="6390" max="6390" width="16.109375" style="2" customWidth="1"/>
    <col min="6391" max="6391" width="1.88671875" style="2" customWidth="1"/>
    <col min="6392" max="6392" width="15.88671875" style="2" customWidth="1"/>
    <col min="6393" max="6393" width="1.88671875" style="2" customWidth="1"/>
    <col min="6394" max="6394" width="13.33203125" style="2" customWidth="1"/>
    <col min="6395" max="6395" width="1.88671875" style="2" customWidth="1"/>
    <col min="6396" max="6396" width="13.33203125" style="2" customWidth="1"/>
    <col min="6397" max="6397" width="2.33203125" style="2" customWidth="1"/>
    <col min="6398" max="6398" width="2.109375" style="2" customWidth="1"/>
    <col min="6399" max="6399" width="16.77734375" style="2" customWidth="1"/>
    <col min="6400" max="6400" width="13.6640625" style="2" customWidth="1"/>
    <col min="6401" max="6410" width="8.6640625" style="2" customWidth="1"/>
    <col min="6411" max="6411" width="20.77734375" style="2" customWidth="1"/>
    <col min="6412" max="6640" width="10.21875" style="2"/>
    <col min="6641" max="6642" width="0" style="2" hidden="1" customWidth="1"/>
    <col min="6643" max="6643" width="7.6640625" style="2" customWidth="1"/>
    <col min="6644" max="6644" width="4.21875" style="2" customWidth="1"/>
    <col min="6645" max="6645" width="98" style="2" customWidth="1"/>
    <col min="6646" max="6646" width="16.109375" style="2" customWidth="1"/>
    <col min="6647" max="6647" width="1.88671875" style="2" customWidth="1"/>
    <col min="6648" max="6648" width="15.88671875" style="2" customWidth="1"/>
    <col min="6649" max="6649" width="1.88671875" style="2" customWidth="1"/>
    <col min="6650" max="6650" width="13.33203125" style="2" customWidth="1"/>
    <col min="6651" max="6651" width="1.88671875" style="2" customWidth="1"/>
    <col min="6652" max="6652" width="13.33203125" style="2" customWidth="1"/>
    <col min="6653" max="6653" width="2.33203125" style="2" customWidth="1"/>
    <col min="6654" max="6654" width="2.109375" style="2" customWidth="1"/>
    <col min="6655" max="6655" width="16.77734375" style="2" customWidth="1"/>
    <col min="6656" max="6656" width="13.6640625" style="2" customWidth="1"/>
    <col min="6657" max="6666" width="8.6640625" style="2" customWidth="1"/>
    <col min="6667" max="6667" width="20.77734375" style="2" customWidth="1"/>
    <col min="6668" max="6896" width="10.21875" style="2"/>
    <col min="6897" max="6898" width="0" style="2" hidden="1" customWidth="1"/>
    <col min="6899" max="6899" width="7.6640625" style="2" customWidth="1"/>
    <col min="6900" max="6900" width="4.21875" style="2" customWidth="1"/>
    <col min="6901" max="6901" width="98" style="2" customWidth="1"/>
    <col min="6902" max="6902" width="16.109375" style="2" customWidth="1"/>
    <col min="6903" max="6903" width="1.88671875" style="2" customWidth="1"/>
    <col min="6904" max="6904" width="15.88671875" style="2" customWidth="1"/>
    <col min="6905" max="6905" width="1.88671875" style="2" customWidth="1"/>
    <col min="6906" max="6906" width="13.33203125" style="2" customWidth="1"/>
    <col min="6907" max="6907" width="1.88671875" style="2" customWidth="1"/>
    <col min="6908" max="6908" width="13.33203125" style="2" customWidth="1"/>
    <col min="6909" max="6909" width="2.33203125" style="2" customWidth="1"/>
    <col min="6910" max="6910" width="2.109375" style="2" customWidth="1"/>
    <col min="6911" max="6911" width="16.77734375" style="2" customWidth="1"/>
    <col min="6912" max="6912" width="13.6640625" style="2" customWidth="1"/>
    <col min="6913" max="6922" width="8.6640625" style="2" customWidth="1"/>
    <col min="6923" max="6923" width="20.77734375" style="2" customWidth="1"/>
    <col min="6924" max="7152" width="10.21875" style="2"/>
    <col min="7153" max="7154" width="0" style="2" hidden="1" customWidth="1"/>
    <col min="7155" max="7155" width="7.6640625" style="2" customWidth="1"/>
    <col min="7156" max="7156" width="4.21875" style="2" customWidth="1"/>
    <col min="7157" max="7157" width="98" style="2" customWidth="1"/>
    <col min="7158" max="7158" width="16.109375" style="2" customWidth="1"/>
    <col min="7159" max="7159" width="1.88671875" style="2" customWidth="1"/>
    <col min="7160" max="7160" width="15.88671875" style="2" customWidth="1"/>
    <col min="7161" max="7161" width="1.88671875" style="2" customWidth="1"/>
    <col min="7162" max="7162" width="13.33203125" style="2" customWidth="1"/>
    <col min="7163" max="7163" width="1.88671875" style="2" customWidth="1"/>
    <col min="7164" max="7164" width="13.33203125" style="2" customWidth="1"/>
    <col min="7165" max="7165" width="2.33203125" style="2" customWidth="1"/>
    <col min="7166" max="7166" width="2.109375" style="2" customWidth="1"/>
    <col min="7167" max="7167" width="16.77734375" style="2" customWidth="1"/>
    <col min="7168" max="7168" width="13.6640625" style="2" customWidth="1"/>
    <col min="7169" max="7178" width="8.6640625" style="2" customWidth="1"/>
    <col min="7179" max="7179" width="20.77734375" style="2" customWidth="1"/>
    <col min="7180" max="7408" width="10.21875" style="2"/>
    <col min="7409" max="7410" width="0" style="2" hidden="1" customWidth="1"/>
    <col min="7411" max="7411" width="7.6640625" style="2" customWidth="1"/>
    <col min="7412" max="7412" width="4.21875" style="2" customWidth="1"/>
    <col min="7413" max="7413" width="98" style="2" customWidth="1"/>
    <col min="7414" max="7414" width="16.109375" style="2" customWidth="1"/>
    <col min="7415" max="7415" width="1.88671875" style="2" customWidth="1"/>
    <col min="7416" max="7416" width="15.88671875" style="2" customWidth="1"/>
    <col min="7417" max="7417" width="1.88671875" style="2" customWidth="1"/>
    <col min="7418" max="7418" width="13.33203125" style="2" customWidth="1"/>
    <col min="7419" max="7419" width="1.88671875" style="2" customWidth="1"/>
    <col min="7420" max="7420" width="13.33203125" style="2" customWidth="1"/>
    <col min="7421" max="7421" width="2.33203125" style="2" customWidth="1"/>
    <col min="7422" max="7422" width="2.109375" style="2" customWidth="1"/>
    <col min="7423" max="7423" width="16.77734375" style="2" customWidth="1"/>
    <col min="7424" max="7424" width="13.6640625" style="2" customWidth="1"/>
    <col min="7425" max="7434" width="8.6640625" style="2" customWidth="1"/>
    <col min="7435" max="7435" width="20.77734375" style="2" customWidth="1"/>
    <col min="7436" max="7664" width="10.21875" style="2"/>
    <col min="7665" max="7666" width="0" style="2" hidden="1" customWidth="1"/>
    <col min="7667" max="7667" width="7.6640625" style="2" customWidth="1"/>
    <col min="7668" max="7668" width="4.21875" style="2" customWidth="1"/>
    <col min="7669" max="7669" width="98" style="2" customWidth="1"/>
    <col min="7670" max="7670" width="16.109375" style="2" customWidth="1"/>
    <col min="7671" max="7671" width="1.88671875" style="2" customWidth="1"/>
    <col min="7672" max="7672" width="15.88671875" style="2" customWidth="1"/>
    <col min="7673" max="7673" width="1.88671875" style="2" customWidth="1"/>
    <col min="7674" max="7674" width="13.33203125" style="2" customWidth="1"/>
    <col min="7675" max="7675" width="1.88671875" style="2" customWidth="1"/>
    <col min="7676" max="7676" width="13.33203125" style="2" customWidth="1"/>
    <col min="7677" max="7677" width="2.33203125" style="2" customWidth="1"/>
    <col min="7678" max="7678" width="2.109375" style="2" customWidth="1"/>
    <col min="7679" max="7679" width="16.77734375" style="2" customWidth="1"/>
    <col min="7680" max="7680" width="13.6640625" style="2" customWidth="1"/>
    <col min="7681" max="7690" width="8.6640625" style="2" customWidth="1"/>
    <col min="7691" max="7691" width="20.77734375" style="2" customWidth="1"/>
    <col min="7692" max="7920" width="10.21875" style="2"/>
    <col min="7921" max="7922" width="0" style="2" hidden="1" customWidth="1"/>
    <col min="7923" max="7923" width="7.6640625" style="2" customWidth="1"/>
    <col min="7924" max="7924" width="4.21875" style="2" customWidth="1"/>
    <col min="7925" max="7925" width="98" style="2" customWidth="1"/>
    <col min="7926" max="7926" width="16.109375" style="2" customWidth="1"/>
    <col min="7927" max="7927" width="1.88671875" style="2" customWidth="1"/>
    <col min="7928" max="7928" width="15.88671875" style="2" customWidth="1"/>
    <col min="7929" max="7929" width="1.88671875" style="2" customWidth="1"/>
    <col min="7930" max="7930" width="13.33203125" style="2" customWidth="1"/>
    <col min="7931" max="7931" width="1.88671875" style="2" customWidth="1"/>
    <col min="7932" max="7932" width="13.33203125" style="2" customWidth="1"/>
    <col min="7933" max="7933" width="2.33203125" style="2" customWidth="1"/>
    <col min="7934" max="7934" width="2.109375" style="2" customWidth="1"/>
    <col min="7935" max="7935" width="16.77734375" style="2" customWidth="1"/>
    <col min="7936" max="7936" width="13.6640625" style="2" customWidth="1"/>
    <col min="7937" max="7946" width="8.6640625" style="2" customWidth="1"/>
    <col min="7947" max="7947" width="20.77734375" style="2" customWidth="1"/>
    <col min="7948" max="8176" width="10.21875" style="2"/>
    <col min="8177" max="8178" width="0" style="2" hidden="1" customWidth="1"/>
    <col min="8179" max="8179" width="7.6640625" style="2" customWidth="1"/>
    <col min="8180" max="8180" width="4.21875" style="2" customWidth="1"/>
    <col min="8181" max="8181" width="98" style="2" customWidth="1"/>
    <col min="8182" max="8182" width="16.109375" style="2" customWidth="1"/>
    <col min="8183" max="8183" width="1.88671875" style="2" customWidth="1"/>
    <col min="8184" max="8184" width="15.88671875" style="2" customWidth="1"/>
    <col min="8185" max="8185" width="1.88671875" style="2" customWidth="1"/>
    <col min="8186" max="8186" width="13.33203125" style="2" customWidth="1"/>
    <col min="8187" max="8187" width="1.88671875" style="2" customWidth="1"/>
    <col min="8188" max="8188" width="13.33203125" style="2" customWidth="1"/>
    <col min="8189" max="8189" width="2.33203125" style="2" customWidth="1"/>
    <col min="8190" max="8190" width="2.109375" style="2" customWidth="1"/>
    <col min="8191" max="8191" width="16.77734375" style="2" customWidth="1"/>
    <col min="8192" max="8192" width="13.6640625" style="2" customWidth="1"/>
    <col min="8193" max="8202" width="8.6640625" style="2" customWidth="1"/>
    <col min="8203" max="8203" width="20.77734375" style="2" customWidth="1"/>
    <col min="8204" max="8432" width="10.21875" style="2"/>
    <col min="8433" max="8434" width="0" style="2" hidden="1" customWidth="1"/>
    <col min="8435" max="8435" width="7.6640625" style="2" customWidth="1"/>
    <col min="8436" max="8436" width="4.21875" style="2" customWidth="1"/>
    <col min="8437" max="8437" width="98" style="2" customWidth="1"/>
    <col min="8438" max="8438" width="16.109375" style="2" customWidth="1"/>
    <col min="8439" max="8439" width="1.88671875" style="2" customWidth="1"/>
    <col min="8440" max="8440" width="15.88671875" style="2" customWidth="1"/>
    <col min="8441" max="8441" width="1.88671875" style="2" customWidth="1"/>
    <col min="8442" max="8442" width="13.33203125" style="2" customWidth="1"/>
    <col min="8443" max="8443" width="1.88671875" style="2" customWidth="1"/>
    <col min="8444" max="8444" width="13.33203125" style="2" customWidth="1"/>
    <col min="8445" max="8445" width="2.33203125" style="2" customWidth="1"/>
    <col min="8446" max="8446" width="2.109375" style="2" customWidth="1"/>
    <col min="8447" max="8447" width="16.77734375" style="2" customWidth="1"/>
    <col min="8448" max="8448" width="13.6640625" style="2" customWidth="1"/>
    <col min="8449" max="8458" width="8.6640625" style="2" customWidth="1"/>
    <col min="8459" max="8459" width="20.77734375" style="2" customWidth="1"/>
    <col min="8460" max="8688" width="10.21875" style="2"/>
    <col min="8689" max="8690" width="0" style="2" hidden="1" customWidth="1"/>
    <col min="8691" max="8691" width="7.6640625" style="2" customWidth="1"/>
    <col min="8692" max="8692" width="4.21875" style="2" customWidth="1"/>
    <col min="8693" max="8693" width="98" style="2" customWidth="1"/>
    <col min="8694" max="8694" width="16.109375" style="2" customWidth="1"/>
    <col min="8695" max="8695" width="1.88671875" style="2" customWidth="1"/>
    <col min="8696" max="8696" width="15.88671875" style="2" customWidth="1"/>
    <col min="8697" max="8697" width="1.88671875" style="2" customWidth="1"/>
    <col min="8698" max="8698" width="13.33203125" style="2" customWidth="1"/>
    <col min="8699" max="8699" width="1.88671875" style="2" customWidth="1"/>
    <col min="8700" max="8700" width="13.33203125" style="2" customWidth="1"/>
    <col min="8701" max="8701" width="2.33203125" style="2" customWidth="1"/>
    <col min="8702" max="8702" width="2.109375" style="2" customWidth="1"/>
    <col min="8703" max="8703" width="16.77734375" style="2" customWidth="1"/>
    <col min="8704" max="8704" width="13.6640625" style="2" customWidth="1"/>
    <col min="8705" max="8714" width="8.6640625" style="2" customWidth="1"/>
    <col min="8715" max="8715" width="20.77734375" style="2" customWidth="1"/>
    <col min="8716" max="8944" width="10.21875" style="2"/>
    <col min="8945" max="8946" width="0" style="2" hidden="1" customWidth="1"/>
    <col min="8947" max="8947" width="7.6640625" style="2" customWidth="1"/>
    <col min="8948" max="8948" width="4.21875" style="2" customWidth="1"/>
    <col min="8949" max="8949" width="98" style="2" customWidth="1"/>
    <col min="8950" max="8950" width="16.109375" style="2" customWidth="1"/>
    <col min="8951" max="8951" width="1.88671875" style="2" customWidth="1"/>
    <col min="8952" max="8952" width="15.88671875" style="2" customWidth="1"/>
    <col min="8953" max="8953" width="1.88671875" style="2" customWidth="1"/>
    <col min="8954" max="8954" width="13.33203125" style="2" customWidth="1"/>
    <col min="8955" max="8955" width="1.88671875" style="2" customWidth="1"/>
    <col min="8956" max="8956" width="13.33203125" style="2" customWidth="1"/>
    <col min="8957" max="8957" width="2.33203125" style="2" customWidth="1"/>
    <col min="8958" max="8958" width="2.109375" style="2" customWidth="1"/>
    <col min="8959" max="8959" width="16.77734375" style="2" customWidth="1"/>
    <col min="8960" max="8960" width="13.6640625" style="2" customWidth="1"/>
    <col min="8961" max="8970" width="8.6640625" style="2" customWidth="1"/>
    <col min="8971" max="8971" width="20.77734375" style="2" customWidth="1"/>
    <col min="8972" max="9200" width="10.21875" style="2"/>
    <col min="9201" max="9202" width="0" style="2" hidden="1" customWidth="1"/>
    <col min="9203" max="9203" width="7.6640625" style="2" customWidth="1"/>
    <col min="9204" max="9204" width="4.21875" style="2" customWidth="1"/>
    <col min="9205" max="9205" width="98" style="2" customWidth="1"/>
    <col min="9206" max="9206" width="16.109375" style="2" customWidth="1"/>
    <col min="9207" max="9207" width="1.88671875" style="2" customWidth="1"/>
    <col min="9208" max="9208" width="15.88671875" style="2" customWidth="1"/>
    <col min="9209" max="9209" width="1.88671875" style="2" customWidth="1"/>
    <col min="9210" max="9210" width="13.33203125" style="2" customWidth="1"/>
    <col min="9211" max="9211" width="1.88671875" style="2" customWidth="1"/>
    <col min="9212" max="9212" width="13.33203125" style="2" customWidth="1"/>
    <col min="9213" max="9213" width="2.33203125" style="2" customWidth="1"/>
    <col min="9214" max="9214" width="2.109375" style="2" customWidth="1"/>
    <col min="9215" max="9215" width="16.77734375" style="2" customWidth="1"/>
    <col min="9216" max="9216" width="13.6640625" style="2" customWidth="1"/>
    <col min="9217" max="9226" width="8.6640625" style="2" customWidth="1"/>
    <col min="9227" max="9227" width="20.77734375" style="2" customWidth="1"/>
    <col min="9228" max="9456" width="10.21875" style="2"/>
    <col min="9457" max="9458" width="0" style="2" hidden="1" customWidth="1"/>
    <col min="9459" max="9459" width="7.6640625" style="2" customWidth="1"/>
    <col min="9460" max="9460" width="4.21875" style="2" customWidth="1"/>
    <col min="9461" max="9461" width="98" style="2" customWidth="1"/>
    <col min="9462" max="9462" width="16.109375" style="2" customWidth="1"/>
    <col min="9463" max="9463" width="1.88671875" style="2" customWidth="1"/>
    <col min="9464" max="9464" width="15.88671875" style="2" customWidth="1"/>
    <col min="9465" max="9465" width="1.88671875" style="2" customWidth="1"/>
    <col min="9466" max="9466" width="13.33203125" style="2" customWidth="1"/>
    <col min="9467" max="9467" width="1.88671875" style="2" customWidth="1"/>
    <col min="9468" max="9468" width="13.33203125" style="2" customWidth="1"/>
    <col min="9469" max="9469" width="2.33203125" style="2" customWidth="1"/>
    <col min="9470" max="9470" width="2.109375" style="2" customWidth="1"/>
    <col min="9471" max="9471" width="16.77734375" style="2" customWidth="1"/>
    <col min="9472" max="9472" width="13.6640625" style="2" customWidth="1"/>
    <col min="9473" max="9482" width="8.6640625" style="2" customWidth="1"/>
    <col min="9483" max="9483" width="20.77734375" style="2" customWidth="1"/>
    <col min="9484" max="9712" width="10.21875" style="2"/>
    <col min="9713" max="9714" width="0" style="2" hidden="1" customWidth="1"/>
    <col min="9715" max="9715" width="7.6640625" style="2" customWidth="1"/>
    <col min="9716" max="9716" width="4.21875" style="2" customWidth="1"/>
    <col min="9717" max="9717" width="98" style="2" customWidth="1"/>
    <col min="9718" max="9718" width="16.109375" style="2" customWidth="1"/>
    <col min="9719" max="9719" width="1.88671875" style="2" customWidth="1"/>
    <col min="9720" max="9720" width="15.88671875" style="2" customWidth="1"/>
    <col min="9721" max="9721" width="1.88671875" style="2" customWidth="1"/>
    <col min="9722" max="9722" width="13.33203125" style="2" customWidth="1"/>
    <col min="9723" max="9723" width="1.88671875" style="2" customWidth="1"/>
    <col min="9724" max="9724" width="13.33203125" style="2" customWidth="1"/>
    <col min="9725" max="9725" width="2.33203125" style="2" customWidth="1"/>
    <col min="9726" max="9726" width="2.109375" style="2" customWidth="1"/>
    <col min="9727" max="9727" width="16.77734375" style="2" customWidth="1"/>
    <col min="9728" max="9728" width="13.6640625" style="2" customWidth="1"/>
    <col min="9729" max="9738" width="8.6640625" style="2" customWidth="1"/>
    <col min="9739" max="9739" width="20.77734375" style="2" customWidth="1"/>
    <col min="9740" max="9968" width="10.21875" style="2"/>
    <col min="9969" max="9970" width="0" style="2" hidden="1" customWidth="1"/>
    <col min="9971" max="9971" width="7.6640625" style="2" customWidth="1"/>
    <col min="9972" max="9972" width="4.21875" style="2" customWidth="1"/>
    <col min="9973" max="9973" width="98" style="2" customWidth="1"/>
    <col min="9974" max="9974" width="16.109375" style="2" customWidth="1"/>
    <col min="9975" max="9975" width="1.88671875" style="2" customWidth="1"/>
    <col min="9976" max="9976" width="15.88671875" style="2" customWidth="1"/>
    <col min="9977" max="9977" width="1.88671875" style="2" customWidth="1"/>
    <col min="9978" max="9978" width="13.33203125" style="2" customWidth="1"/>
    <col min="9979" max="9979" width="1.88671875" style="2" customWidth="1"/>
    <col min="9980" max="9980" width="13.33203125" style="2" customWidth="1"/>
    <col min="9981" max="9981" width="2.33203125" style="2" customWidth="1"/>
    <col min="9982" max="9982" width="2.109375" style="2" customWidth="1"/>
    <col min="9983" max="9983" width="16.77734375" style="2" customWidth="1"/>
    <col min="9984" max="9984" width="13.6640625" style="2" customWidth="1"/>
    <col min="9985" max="9994" width="8.6640625" style="2" customWidth="1"/>
    <col min="9995" max="9995" width="20.77734375" style="2" customWidth="1"/>
    <col min="9996" max="10224" width="10.21875" style="2"/>
    <col min="10225" max="10226" width="0" style="2" hidden="1" customWidth="1"/>
    <col min="10227" max="10227" width="7.6640625" style="2" customWidth="1"/>
    <col min="10228" max="10228" width="4.21875" style="2" customWidth="1"/>
    <col min="10229" max="10229" width="98" style="2" customWidth="1"/>
    <col min="10230" max="10230" width="16.109375" style="2" customWidth="1"/>
    <col min="10231" max="10231" width="1.88671875" style="2" customWidth="1"/>
    <col min="10232" max="10232" width="15.88671875" style="2" customWidth="1"/>
    <col min="10233" max="10233" width="1.88671875" style="2" customWidth="1"/>
    <col min="10234" max="10234" width="13.33203125" style="2" customWidth="1"/>
    <col min="10235" max="10235" width="1.88671875" style="2" customWidth="1"/>
    <col min="10236" max="10236" width="13.33203125" style="2" customWidth="1"/>
    <col min="10237" max="10237" width="2.33203125" style="2" customWidth="1"/>
    <col min="10238" max="10238" width="2.109375" style="2" customWidth="1"/>
    <col min="10239" max="10239" width="16.77734375" style="2" customWidth="1"/>
    <col min="10240" max="10240" width="13.6640625" style="2" customWidth="1"/>
    <col min="10241" max="10250" width="8.6640625" style="2" customWidth="1"/>
    <col min="10251" max="10251" width="20.77734375" style="2" customWidth="1"/>
    <col min="10252" max="10480" width="10.21875" style="2"/>
    <col min="10481" max="10482" width="0" style="2" hidden="1" customWidth="1"/>
    <col min="10483" max="10483" width="7.6640625" style="2" customWidth="1"/>
    <col min="10484" max="10484" width="4.21875" style="2" customWidth="1"/>
    <col min="10485" max="10485" width="98" style="2" customWidth="1"/>
    <col min="10486" max="10486" width="16.109375" style="2" customWidth="1"/>
    <col min="10487" max="10487" width="1.88671875" style="2" customWidth="1"/>
    <col min="10488" max="10488" width="15.88671875" style="2" customWidth="1"/>
    <col min="10489" max="10489" width="1.88671875" style="2" customWidth="1"/>
    <col min="10490" max="10490" width="13.33203125" style="2" customWidth="1"/>
    <col min="10491" max="10491" width="1.88671875" style="2" customWidth="1"/>
    <col min="10492" max="10492" width="13.33203125" style="2" customWidth="1"/>
    <col min="10493" max="10493" width="2.33203125" style="2" customWidth="1"/>
    <col min="10494" max="10494" width="2.109375" style="2" customWidth="1"/>
    <col min="10495" max="10495" width="16.77734375" style="2" customWidth="1"/>
    <col min="10496" max="10496" width="13.6640625" style="2" customWidth="1"/>
    <col min="10497" max="10506" width="8.6640625" style="2" customWidth="1"/>
    <col min="10507" max="10507" width="20.77734375" style="2" customWidth="1"/>
    <col min="10508" max="10736" width="10.21875" style="2"/>
    <col min="10737" max="10738" width="0" style="2" hidden="1" customWidth="1"/>
    <col min="10739" max="10739" width="7.6640625" style="2" customWidth="1"/>
    <col min="10740" max="10740" width="4.21875" style="2" customWidth="1"/>
    <col min="10741" max="10741" width="98" style="2" customWidth="1"/>
    <col min="10742" max="10742" width="16.109375" style="2" customWidth="1"/>
    <col min="10743" max="10743" width="1.88671875" style="2" customWidth="1"/>
    <col min="10744" max="10744" width="15.88671875" style="2" customWidth="1"/>
    <col min="10745" max="10745" width="1.88671875" style="2" customWidth="1"/>
    <col min="10746" max="10746" width="13.33203125" style="2" customWidth="1"/>
    <col min="10747" max="10747" width="1.88671875" style="2" customWidth="1"/>
    <col min="10748" max="10748" width="13.33203125" style="2" customWidth="1"/>
    <col min="10749" max="10749" width="2.33203125" style="2" customWidth="1"/>
    <col min="10750" max="10750" width="2.109375" style="2" customWidth="1"/>
    <col min="10751" max="10751" width="16.77734375" style="2" customWidth="1"/>
    <col min="10752" max="10752" width="13.6640625" style="2" customWidth="1"/>
    <col min="10753" max="10762" width="8.6640625" style="2" customWidth="1"/>
    <col min="10763" max="10763" width="20.77734375" style="2" customWidth="1"/>
    <col min="10764" max="10992" width="10.21875" style="2"/>
    <col min="10993" max="10994" width="0" style="2" hidden="1" customWidth="1"/>
    <col min="10995" max="10995" width="7.6640625" style="2" customWidth="1"/>
    <col min="10996" max="10996" width="4.21875" style="2" customWidth="1"/>
    <col min="10997" max="10997" width="98" style="2" customWidth="1"/>
    <col min="10998" max="10998" width="16.109375" style="2" customWidth="1"/>
    <col min="10999" max="10999" width="1.88671875" style="2" customWidth="1"/>
    <col min="11000" max="11000" width="15.88671875" style="2" customWidth="1"/>
    <col min="11001" max="11001" width="1.88671875" style="2" customWidth="1"/>
    <col min="11002" max="11002" width="13.33203125" style="2" customWidth="1"/>
    <col min="11003" max="11003" width="1.88671875" style="2" customWidth="1"/>
    <col min="11004" max="11004" width="13.33203125" style="2" customWidth="1"/>
    <col min="11005" max="11005" width="2.33203125" style="2" customWidth="1"/>
    <col min="11006" max="11006" width="2.109375" style="2" customWidth="1"/>
    <col min="11007" max="11007" width="16.77734375" style="2" customWidth="1"/>
    <col min="11008" max="11008" width="13.6640625" style="2" customWidth="1"/>
    <col min="11009" max="11018" width="8.6640625" style="2" customWidth="1"/>
    <col min="11019" max="11019" width="20.77734375" style="2" customWidth="1"/>
    <col min="11020" max="11248" width="10.21875" style="2"/>
    <col min="11249" max="11250" width="0" style="2" hidden="1" customWidth="1"/>
    <col min="11251" max="11251" width="7.6640625" style="2" customWidth="1"/>
    <col min="11252" max="11252" width="4.21875" style="2" customWidth="1"/>
    <col min="11253" max="11253" width="98" style="2" customWidth="1"/>
    <col min="11254" max="11254" width="16.109375" style="2" customWidth="1"/>
    <col min="11255" max="11255" width="1.88671875" style="2" customWidth="1"/>
    <col min="11256" max="11256" width="15.88671875" style="2" customWidth="1"/>
    <col min="11257" max="11257" width="1.88671875" style="2" customWidth="1"/>
    <col min="11258" max="11258" width="13.33203125" style="2" customWidth="1"/>
    <col min="11259" max="11259" width="1.88671875" style="2" customWidth="1"/>
    <col min="11260" max="11260" width="13.33203125" style="2" customWidth="1"/>
    <col min="11261" max="11261" width="2.33203125" style="2" customWidth="1"/>
    <col min="11262" max="11262" width="2.109375" style="2" customWidth="1"/>
    <col min="11263" max="11263" width="16.77734375" style="2" customWidth="1"/>
    <col min="11264" max="11264" width="13.6640625" style="2" customWidth="1"/>
    <col min="11265" max="11274" width="8.6640625" style="2" customWidth="1"/>
    <col min="11275" max="11275" width="20.77734375" style="2" customWidth="1"/>
    <col min="11276" max="11504" width="10.21875" style="2"/>
    <col min="11505" max="11506" width="0" style="2" hidden="1" customWidth="1"/>
    <col min="11507" max="11507" width="7.6640625" style="2" customWidth="1"/>
    <col min="11508" max="11508" width="4.21875" style="2" customWidth="1"/>
    <col min="11509" max="11509" width="98" style="2" customWidth="1"/>
    <col min="11510" max="11510" width="16.109375" style="2" customWidth="1"/>
    <col min="11511" max="11511" width="1.88671875" style="2" customWidth="1"/>
    <col min="11512" max="11512" width="15.88671875" style="2" customWidth="1"/>
    <col min="11513" max="11513" width="1.88671875" style="2" customWidth="1"/>
    <col min="11514" max="11514" width="13.33203125" style="2" customWidth="1"/>
    <col min="11515" max="11515" width="1.88671875" style="2" customWidth="1"/>
    <col min="11516" max="11516" width="13.33203125" style="2" customWidth="1"/>
    <col min="11517" max="11517" width="2.33203125" style="2" customWidth="1"/>
    <col min="11518" max="11518" width="2.109375" style="2" customWidth="1"/>
    <col min="11519" max="11519" width="16.77734375" style="2" customWidth="1"/>
    <col min="11520" max="11520" width="13.6640625" style="2" customWidth="1"/>
    <col min="11521" max="11530" width="8.6640625" style="2" customWidth="1"/>
    <col min="11531" max="11531" width="20.77734375" style="2" customWidth="1"/>
    <col min="11532" max="11760" width="10.21875" style="2"/>
    <col min="11761" max="11762" width="0" style="2" hidden="1" customWidth="1"/>
    <col min="11763" max="11763" width="7.6640625" style="2" customWidth="1"/>
    <col min="11764" max="11764" width="4.21875" style="2" customWidth="1"/>
    <col min="11765" max="11765" width="98" style="2" customWidth="1"/>
    <col min="11766" max="11766" width="16.109375" style="2" customWidth="1"/>
    <col min="11767" max="11767" width="1.88671875" style="2" customWidth="1"/>
    <col min="11768" max="11768" width="15.88671875" style="2" customWidth="1"/>
    <col min="11769" max="11769" width="1.88671875" style="2" customWidth="1"/>
    <col min="11770" max="11770" width="13.33203125" style="2" customWidth="1"/>
    <col min="11771" max="11771" width="1.88671875" style="2" customWidth="1"/>
    <col min="11772" max="11772" width="13.33203125" style="2" customWidth="1"/>
    <col min="11773" max="11773" width="2.33203125" style="2" customWidth="1"/>
    <col min="11774" max="11774" width="2.109375" style="2" customWidth="1"/>
    <col min="11775" max="11775" width="16.77734375" style="2" customWidth="1"/>
    <col min="11776" max="11776" width="13.6640625" style="2" customWidth="1"/>
    <col min="11777" max="11786" width="8.6640625" style="2" customWidth="1"/>
    <col min="11787" max="11787" width="20.77734375" style="2" customWidth="1"/>
    <col min="11788" max="12016" width="10.21875" style="2"/>
    <col min="12017" max="12018" width="0" style="2" hidden="1" customWidth="1"/>
    <col min="12019" max="12019" width="7.6640625" style="2" customWidth="1"/>
    <col min="12020" max="12020" width="4.21875" style="2" customWidth="1"/>
    <col min="12021" max="12021" width="98" style="2" customWidth="1"/>
    <col min="12022" max="12022" width="16.109375" style="2" customWidth="1"/>
    <col min="12023" max="12023" width="1.88671875" style="2" customWidth="1"/>
    <col min="12024" max="12024" width="15.88671875" style="2" customWidth="1"/>
    <col min="12025" max="12025" width="1.88671875" style="2" customWidth="1"/>
    <col min="12026" max="12026" width="13.33203125" style="2" customWidth="1"/>
    <col min="12027" max="12027" width="1.88671875" style="2" customWidth="1"/>
    <col min="12028" max="12028" width="13.33203125" style="2" customWidth="1"/>
    <col min="12029" max="12029" width="2.33203125" style="2" customWidth="1"/>
    <col min="12030" max="12030" width="2.109375" style="2" customWidth="1"/>
    <col min="12031" max="12031" width="16.77734375" style="2" customWidth="1"/>
    <col min="12032" max="12032" width="13.6640625" style="2" customWidth="1"/>
    <col min="12033" max="12042" width="8.6640625" style="2" customWidth="1"/>
    <col min="12043" max="12043" width="20.77734375" style="2" customWidth="1"/>
    <col min="12044" max="12272" width="10.21875" style="2"/>
    <col min="12273" max="12274" width="0" style="2" hidden="1" customWidth="1"/>
    <col min="12275" max="12275" width="7.6640625" style="2" customWidth="1"/>
    <col min="12276" max="12276" width="4.21875" style="2" customWidth="1"/>
    <col min="12277" max="12277" width="98" style="2" customWidth="1"/>
    <col min="12278" max="12278" width="16.109375" style="2" customWidth="1"/>
    <col min="12279" max="12279" width="1.88671875" style="2" customWidth="1"/>
    <col min="12280" max="12280" width="15.88671875" style="2" customWidth="1"/>
    <col min="12281" max="12281" width="1.88671875" style="2" customWidth="1"/>
    <col min="12282" max="12282" width="13.33203125" style="2" customWidth="1"/>
    <col min="12283" max="12283" width="1.88671875" style="2" customWidth="1"/>
    <col min="12284" max="12284" width="13.33203125" style="2" customWidth="1"/>
    <col min="12285" max="12285" width="2.33203125" style="2" customWidth="1"/>
    <col min="12286" max="12286" width="2.109375" style="2" customWidth="1"/>
    <col min="12287" max="12287" width="16.77734375" style="2" customWidth="1"/>
    <col min="12288" max="12288" width="13.6640625" style="2" customWidth="1"/>
    <col min="12289" max="12298" width="8.6640625" style="2" customWidth="1"/>
    <col min="12299" max="12299" width="20.77734375" style="2" customWidth="1"/>
    <col min="12300" max="12528" width="10.21875" style="2"/>
    <col min="12529" max="12530" width="0" style="2" hidden="1" customWidth="1"/>
    <col min="12531" max="12531" width="7.6640625" style="2" customWidth="1"/>
    <col min="12532" max="12532" width="4.21875" style="2" customWidth="1"/>
    <col min="12533" max="12533" width="98" style="2" customWidth="1"/>
    <col min="12534" max="12534" width="16.109375" style="2" customWidth="1"/>
    <col min="12535" max="12535" width="1.88671875" style="2" customWidth="1"/>
    <col min="12536" max="12536" width="15.88671875" style="2" customWidth="1"/>
    <col min="12537" max="12537" width="1.88671875" style="2" customWidth="1"/>
    <col min="12538" max="12538" width="13.33203125" style="2" customWidth="1"/>
    <col min="12539" max="12539" width="1.88671875" style="2" customWidth="1"/>
    <col min="12540" max="12540" width="13.33203125" style="2" customWidth="1"/>
    <col min="12541" max="12541" width="2.33203125" style="2" customWidth="1"/>
    <col min="12542" max="12542" width="2.109375" style="2" customWidth="1"/>
    <col min="12543" max="12543" width="16.77734375" style="2" customWidth="1"/>
    <col min="12544" max="12544" width="13.6640625" style="2" customWidth="1"/>
    <col min="12545" max="12554" width="8.6640625" style="2" customWidth="1"/>
    <col min="12555" max="12555" width="20.77734375" style="2" customWidth="1"/>
    <col min="12556" max="12784" width="10.21875" style="2"/>
    <col min="12785" max="12786" width="0" style="2" hidden="1" customWidth="1"/>
    <col min="12787" max="12787" width="7.6640625" style="2" customWidth="1"/>
    <col min="12788" max="12788" width="4.21875" style="2" customWidth="1"/>
    <col min="12789" max="12789" width="98" style="2" customWidth="1"/>
    <col min="12790" max="12790" width="16.109375" style="2" customWidth="1"/>
    <col min="12791" max="12791" width="1.88671875" style="2" customWidth="1"/>
    <col min="12792" max="12792" width="15.88671875" style="2" customWidth="1"/>
    <col min="12793" max="12793" width="1.88671875" style="2" customWidth="1"/>
    <col min="12794" max="12794" width="13.33203125" style="2" customWidth="1"/>
    <col min="12795" max="12795" width="1.88671875" style="2" customWidth="1"/>
    <col min="12796" max="12796" width="13.33203125" style="2" customWidth="1"/>
    <col min="12797" max="12797" width="2.33203125" style="2" customWidth="1"/>
    <col min="12798" max="12798" width="2.109375" style="2" customWidth="1"/>
    <col min="12799" max="12799" width="16.77734375" style="2" customWidth="1"/>
    <col min="12800" max="12800" width="13.6640625" style="2" customWidth="1"/>
    <col min="12801" max="12810" width="8.6640625" style="2" customWidth="1"/>
    <col min="12811" max="12811" width="20.77734375" style="2" customWidth="1"/>
    <col min="12812" max="13040" width="10.21875" style="2"/>
    <col min="13041" max="13042" width="0" style="2" hidden="1" customWidth="1"/>
    <col min="13043" max="13043" width="7.6640625" style="2" customWidth="1"/>
    <col min="13044" max="13044" width="4.21875" style="2" customWidth="1"/>
    <col min="13045" max="13045" width="98" style="2" customWidth="1"/>
    <col min="13046" max="13046" width="16.109375" style="2" customWidth="1"/>
    <col min="13047" max="13047" width="1.88671875" style="2" customWidth="1"/>
    <col min="13048" max="13048" width="15.88671875" style="2" customWidth="1"/>
    <col min="13049" max="13049" width="1.88671875" style="2" customWidth="1"/>
    <col min="13050" max="13050" width="13.33203125" style="2" customWidth="1"/>
    <col min="13051" max="13051" width="1.88671875" style="2" customWidth="1"/>
    <col min="13052" max="13052" width="13.33203125" style="2" customWidth="1"/>
    <col min="13053" max="13053" width="2.33203125" style="2" customWidth="1"/>
    <col min="13054" max="13054" width="2.109375" style="2" customWidth="1"/>
    <col min="13055" max="13055" width="16.77734375" style="2" customWidth="1"/>
    <col min="13056" max="13056" width="13.6640625" style="2" customWidth="1"/>
    <col min="13057" max="13066" width="8.6640625" style="2" customWidth="1"/>
    <col min="13067" max="13067" width="20.77734375" style="2" customWidth="1"/>
    <col min="13068" max="13296" width="10.21875" style="2"/>
    <col min="13297" max="13298" width="0" style="2" hidden="1" customWidth="1"/>
    <col min="13299" max="13299" width="7.6640625" style="2" customWidth="1"/>
    <col min="13300" max="13300" width="4.21875" style="2" customWidth="1"/>
    <col min="13301" max="13301" width="98" style="2" customWidth="1"/>
    <col min="13302" max="13302" width="16.109375" style="2" customWidth="1"/>
    <col min="13303" max="13303" width="1.88671875" style="2" customWidth="1"/>
    <col min="13304" max="13304" width="15.88671875" style="2" customWidth="1"/>
    <col min="13305" max="13305" width="1.88671875" style="2" customWidth="1"/>
    <col min="13306" max="13306" width="13.33203125" style="2" customWidth="1"/>
    <col min="13307" max="13307" width="1.88671875" style="2" customWidth="1"/>
    <col min="13308" max="13308" width="13.33203125" style="2" customWidth="1"/>
    <col min="13309" max="13309" width="2.33203125" style="2" customWidth="1"/>
    <col min="13310" max="13310" width="2.109375" style="2" customWidth="1"/>
    <col min="13311" max="13311" width="16.77734375" style="2" customWidth="1"/>
    <col min="13312" max="13312" width="13.6640625" style="2" customWidth="1"/>
    <col min="13313" max="13322" width="8.6640625" style="2" customWidth="1"/>
    <col min="13323" max="13323" width="20.77734375" style="2" customWidth="1"/>
    <col min="13324" max="13552" width="10.21875" style="2"/>
    <col min="13553" max="13554" width="0" style="2" hidden="1" customWidth="1"/>
    <col min="13555" max="13555" width="7.6640625" style="2" customWidth="1"/>
    <col min="13556" max="13556" width="4.21875" style="2" customWidth="1"/>
    <col min="13557" max="13557" width="98" style="2" customWidth="1"/>
    <col min="13558" max="13558" width="16.109375" style="2" customWidth="1"/>
    <col min="13559" max="13559" width="1.88671875" style="2" customWidth="1"/>
    <col min="13560" max="13560" width="15.88671875" style="2" customWidth="1"/>
    <col min="13561" max="13561" width="1.88671875" style="2" customWidth="1"/>
    <col min="13562" max="13562" width="13.33203125" style="2" customWidth="1"/>
    <col min="13563" max="13563" width="1.88671875" style="2" customWidth="1"/>
    <col min="13564" max="13564" width="13.33203125" style="2" customWidth="1"/>
    <col min="13565" max="13565" width="2.33203125" style="2" customWidth="1"/>
    <col min="13566" max="13566" width="2.109375" style="2" customWidth="1"/>
    <col min="13567" max="13567" width="16.77734375" style="2" customWidth="1"/>
    <col min="13568" max="13568" width="13.6640625" style="2" customWidth="1"/>
    <col min="13569" max="13578" width="8.6640625" style="2" customWidth="1"/>
    <col min="13579" max="13579" width="20.77734375" style="2" customWidth="1"/>
    <col min="13580" max="13808" width="10.21875" style="2"/>
    <col min="13809" max="13810" width="0" style="2" hidden="1" customWidth="1"/>
    <col min="13811" max="13811" width="7.6640625" style="2" customWidth="1"/>
    <col min="13812" max="13812" width="4.21875" style="2" customWidth="1"/>
    <col min="13813" max="13813" width="98" style="2" customWidth="1"/>
    <col min="13814" max="13814" width="16.109375" style="2" customWidth="1"/>
    <col min="13815" max="13815" width="1.88671875" style="2" customWidth="1"/>
    <col min="13816" max="13816" width="15.88671875" style="2" customWidth="1"/>
    <col min="13817" max="13817" width="1.88671875" style="2" customWidth="1"/>
    <col min="13818" max="13818" width="13.33203125" style="2" customWidth="1"/>
    <col min="13819" max="13819" width="1.88671875" style="2" customWidth="1"/>
    <col min="13820" max="13820" width="13.33203125" style="2" customWidth="1"/>
    <col min="13821" max="13821" width="2.33203125" style="2" customWidth="1"/>
    <col min="13822" max="13822" width="2.109375" style="2" customWidth="1"/>
    <col min="13823" max="13823" width="16.77734375" style="2" customWidth="1"/>
    <col min="13824" max="13824" width="13.6640625" style="2" customWidth="1"/>
    <col min="13825" max="13834" width="8.6640625" style="2" customWidth="1"/>
    <col min="13835" max="13835" width="20.77734375" style="2" customWidth="1"/>
    <col min="13836" max="14064" width="10.21875" style="2"/>
    <col min="14065" max="14066" width="0" style="2" hidden="1" customWidth="1"/>
    <col min="14067" max="14067" width="7.6640625" style="2" customWidth="1"/>
    <col min="14068" max="14068" width="4.21875" style="2" customWidth="1"/>
    <col min="14069" max="14069" width="98" style="2" customWidth="1"/>
    <col min="14070" max="14070" width="16.109375" style="2" customWidth="1"/>
    <col min="14071" max="14071" width="1.88671875" style="2" customWidth="1"/>
    <col min="14072" max="14072" width="15.88671875" style="2" customWidth="1"/>
    <col min="14073" max="14073" width="1.88671875" style="2" customWidth="1"/>
    <col min="14074" max="14074" width="13.33203125" style="2" customWidth="1"/>
    <col min="14075" max="14075" width="1.88671875" style="2" customWidth="1"/>
    <col min="14076" max="14076" width="13.33203125" style="2" customWidth="1"/>
    <col min="14077" max="14077" width="2.33203125" style="2" customWidth="1"/>
    <col min="14078" max="14078" width="2.109375" style="2" customWidth="1"/>
    <col min="14079" max="14079" width="16.77734375" style="2" customWidth="1"/>
    <col min="14080" max="14080" width="13.6640625" style="2" customWidth="1"/>
    <col min="14081" max="14090" width="8.6640625" style="2" customWidth="1"/>
    <col min="14091" max="14091" width="20.77734375" style="2" customWidth="1"/>
    <col min="14092" max="14320" width="10.21875" style="2"/>
    <col min="14321" max="14322" width="0" style="2" hidden="1" customWidth="1"/>
    <col min="14323" max="14323" width="7.6640625" style="2" customWidth="1"/>
    <col min="14324" max="14324" width="4.21875" style="2" customWidth="1"/>
    <col min="14325" max="14325" width="98" style="2" customWidth="1"/>
    <col min="14326" max="14326" width="16.109375" style="2" customWidth="1"/>
    <col min="14327" max="14327" width="1.88671875" style="2" customWidth="1"/>
    <col min="14328" max="14328" width="15.88671875" style="2" customWidth="1"/>
    <col min="14329" max="14329" width="1.88671875" style="2" customWidth="1"/>
    <col min="14330" max="14330" width="13.33203125" style="2" customWidth="1"/>
    <col min="14331" max="14331" width="1.88671875" style="2" customWidth="1"/>
    <col min="14332" max="14332" width="13.33203125" style="2" customWidth="1"/>
    <col min="14333" max="14333" width="2.33203125" style="2" customWidth="1"/>
    <col min="14334" max="14334" width="2.109375" style="2" customWidth="1"/>
    <col min="14335" max="14335" width="16.77734375" style="2" customWidth="1"/>
    <col min="14336" max="14336" width="13.6640625" style="2" customWidth="1"/>
    <col min="14337" max="14346" width="8.6640625" style="2" customWidth="1"/>
    <col min="14347" max="14347" width="20.77734375" style="2" customWidth="1"/>
    <col min="14348" max="14576" width="10.21875" style="2"/>
    <col min="14577" max="14578" width="0" style="2" hidden="1" customWidth="1"/>
    <col min="14579" max="14579" width="7.6640625" style="2" customWidth="1"/>
    <col min="14580" max="14580" width="4.21875" style="2" customWidth="1"/>
    <col min="14581" max="14581" width="98" style="2" customWidth="1"/>
    <col min="14582" max="14582" width="16.109375" style="2" customWidth="1"/>
    <col min="14583" max="14583" width="1.88671875" style="2" customWidth="1"/>
    <col min="14584" max="14584" width="15.88671875" style="2" customWidth="1"/>
    <col min="14585" max="14585" width="1.88671875" style="2" customWidth="1"/>
    <col min="14586" max="14586" width="13.33203125" style="2" customWidth="1"/>
    <col min="14587" max="14587" width="1.88671875" style="2" customWidth="1"/>
    <col min="14588" max="14588" width="13.33203125" style="2" customWidth="1"/>
    <col min="14589" max="14589" width="2.33203125" style="2" customWidth="1"/>
    <col min="14590" max="14590" width="2.109375" style="2" customWidth="1"/>
    <col min="14591" max="14591" width="16.77734375" style="2" customWidth="1"/>
    <col min="14592" max="14592" width="13.6640625" style="2" customWidth="1"/>
    <col min="14593" max="14602" width="8.6640625" style="2" customWidth="1"/>
    <col min="14603" max="14603" width="20.77734375" style="2" customWidth="1"/>
    <col min="14604" max="14832" width="10.21875" style="2"/>
    <col min="14833" max="14834" width="0" style="2" hidden="1" customWidth="1"/>
    <col min="14835" max="14835" width="7.6640625" style="2" customWidth="1"/>
    <col min="14836" max="14836" width="4.21875" style="2" customWidth="1"/>
    <col min="14837" max="14837" width="98" style="2" customWidth="1"/>
    <col min="14838" max="14838" width="16.109375" style="2" customWidth="1"/>
    <col min="14839" max="14839" width="1.88671875" style="2" customWidth="1"/>
    <col min="14840" max="14840" width="15.88671875" style="2" customWidth="1"/>
    <col min="14841" max="14841" width="1.88671875" style="2" customWidth="1"/>
    <col min="14842" max="14842" width="13.33203125" style="2" customWidth="1"/>
    <col min="14843" max="14843" width="1.88671875" style="2" customWidth="1"/>
    <col min="14844" max="14844" width="13.33203125" style="2" customWidth="1"/>
    <col min="14845" max="14845" width="2.33203125" style="2" customWidth="1"/>
    <col min="14846" max="14846" width="2.109375" style="2" customWidth="1"/>
    <col min="14847" max="14847" width="16.77734375" style="2" customWidth="1"/>
    <col min="14848" max="14848" width="13.6640625" style="2" customWidth="1"/>
    <col min="14849" max="14858" width="8.6640625" style="2" customWidth="1"/>
    <col min="14859" max="14859" width="20.77734375" style="2" customWidth="1"/>
    <col min="14860" max="15088" width="10.21875" style="2"/>
    <col min="15089" max="15090" width="0" style="2" hidden="1" customWidth="1"/>
    <col min="15091" max="15091" width="7.6640625" style="2" customWidth="1"/>
    <col min="15092" max="15092" width="4.21875" style="2" customWidth="1"/>
    <col min="15093" max="15093" width="98" style="2" customWidth="1"/>
    <col min="15094" max="15094" width="16.109375" style="2" customWidth="1"/>
    <col min="15095" max="15095" width="1.88671875" style="2" customWidth="1"/>
    <col min="15096" max="15096" width="15.88671875" style="2" customWidth="1"/>
    <col min="15097" max="15097" width="1.88671875" style="2" customWidth="1"/>
    <col min="15098" max="15098" width="13.33203125" style="2" customWidth="1"/>
    <col min="15099" max="15099" width="1.88671875" style="2" customWidth="1"/>
    <col min="15100" max="15100" width="13.33203125" style="2" customWidth="1"/>
    <col min="15101" max="15101" width="2.33203125" style="2" customWidth="1"/>
    <col min="15102" max="15102" width="2.109375" style="2" customWidth="1"/>
    <col min="15103" max="15103" width="16.77734375" style="2" customWidth="1"/>
    <col min="15104" max="15104" width="13.6640625" style="2" customWidth="1"/>
    <col min="15105" max="15114" width="8.6640625" style="2" customWidth="1"/>
    <col min="15115" max="15115" width="20.77734375" style="2" customWidth="1"/>
    <col min="15116" max="15344" width="10.21875" style="2"/>
    <col min="15345" max="15346" width="0" style="2" hidden="1" customWidth="1"/>
    <col min="15347" max="15347" width="7.6640625" style="2" customWidth="1"/>
    <col min="15348" max="15348" width="4.21875" style="2" customWidth="1"/>
    <col min="15349" max="15349" width="98" style="2" customWidth="1"/>
    <col min="15350" max="15350" width="16.109375" style="2" customWidth="1"/>
    <col min="15351" max="15351" width="1.88671875" style="2" customWidth="1"/>
    <col min="15352" max="15352" width="15.88671875" style="2" customWidth="1"/>
    <col min="15353" max="15353" width="1.88671875" style="2" customWidth="1"/>
    <col min="15354" max="15354" width="13.33203125" style="2" customWidth="1"/>
    <col min="15355" max="15355" width="1.88671875" style="2" customWidth="1"/>
    <col min="15356" max="15356" width="13.33203125" style="2" customWidth="1"/>
    <col min="15357" max="15357" width="2.33203125" style="2" customWidth="1"/>
    <col min="15358" max="15358" width="2.109375" style="2" customWidth="1"/>
    <col min="15359" max="15359" width="16.77734375" style="2" customWidth="1"/>
    <col min="15360" max="15360" width="13.6640625" style="2" customWidth="1"/>
    <col min="15361" max="15370" width="8.6640625" style="2" customWidth="1"/>
    <col min="15371" max="15371" width="20.77734375" style="2" customWidth="1"/>
    <col min="15372" max="15600" width="10.21875" style="2"/>
    <col min="15601" max="15602" width="0" style="2" hidden="1" customWidth="1"/>
    <col min="15603" max="15603" width="7.6640625" style="2" customWidth="1"/>
    <col min="15604" max="15604" width="4.21875" style="2" customWidth="1"/>
    <col min="15605" max="15605" width="98" style="2" customWidth="1"/>
    <col min="15606" max="15606" width="16.109375" style="2" customWidth="1"/>
    <col min="15607" max="15607" width="1.88671875" style="2" customWidth="1"/>
    <col min="15608" max="15608" width="15.88671875" style="2" customWidth="1"/>
    <col min="15609" max="15609" width="1.88671875" style="2" customWidth="1"/>
    <col min="15610" max="15610" width="13.33203125" style="2" customWidth="1"/>
    <col min="15611" max="15611" width="1.88671875" style="2" customWidth="1"/>
    <col min="15612" max="15612" width="13.33203125" style="2" customWidth="1"/>
    <col min="15613" max="15613" width="2.33203125" style="2" customWidth="1"/>
    <col min="15614" max="15614" width="2.109375" style="2" customWidth="1"/>
    <col min="15615" max="15615" width="16.77734375" style="2" customWidth="1"/>
    <col min="15616" max="15616" width="13.6640625" style="2" customWidth="1"/>
    <col min="15617" max="15626" width="8.6640625" style="2" customWidth="1"/>
    <col min="15627" max="15627" width="20.77734375" style="2" customWidth="1"/>
    <col min="15628" max="15856" width="10.21875" style="2"/>
    <col min="15857" max="15858" width="0" style="2" hidden="1" customWidth="1"/>
    <col min="15859" max="15859" width="7.6640625" style="2" customWidth="1"/>
    <col min="15860" max="15860" width="4.21875" style="2" customWidth="1"/>
    <col min="15861" max="15861" width="98" style="2" customWidth="1"/>
    <col min="15862" max="15862" width="16.109375" style="2" customWidth="1"/>
    <col min="15863" max="15863" width="1.88671875" style="2" customWidth="1"/>
    <col min="15864" max="15864" width="15.88671875" style="2" customWidth="1"/>
    <col min="15865" max="15865" width="1.88671875" style="2" customWidth="1"/>
    <col min="15866" max="15866" width="13.33203125" style="2" customWidth="1"/>
    <col min="15867" max="15867" width="1.88671875" style="2" customWidth="1"/>
    <col min="15868" max="15868" width="13.33203125" style="2" customWidth="1"/>
    <col min="15869" max="15869" width="2.33203125" style="2" customWidth="1"/>
    <col min="15870" max="15870" width="2.109375" style="2" customWidth="1"/>
    <col min="15871" max="15871" width="16.77734375" style="2" customWidth="1"/>
    <col min="15872" max="15872" width="13.6640625" style="2" customWidth="1"/>
    <col min="15873" max="15882" width="8.6640625" style="2" customWidth="1"/>
    <col min="15883" max="15883" width="20.77734375" style="2" customWidth="1"/>
    <col min="15884" max="16112" width="10.21875" style="2"/>
    <col min="16113" max="16114" width="0" style="2" hidden="1" customWidth="1"/>
    <col min="16115" max="16115" width="7.6640625" style="2" customWidth="1"/>
    <col min="16116" max="16116" width="4.21875" style="2" customWidth="1"/>
    <col min="16117" max="16117" width="98" style="2" customWidth="1"/>
    <col min="16118" max="16118" width="16.109375" style="2" customWidth="1"/>
    <col min="16119" max="16119" width="1.88671875" style="2" customWidth="1"/>
    <col min="16120" max="16120" width="15.88671875" style="2" customWidth="1"/>
    <col min="16121" max="16121" width="1.88671875" style="2" customWidth="1"/>
    <col min="16122" max="16122" width="13.33203125" style="2" customWidth="1"/>
    <col min="16123" max="16123" width="1.88671875" style="2" customWidth="1"/>
    <col min="16124" max="16124" width="13.33203125" style="2" customWidth="1"/>
    <col min="16125" max="16125" width="2.33203125" style="2" customWidth="1"/>
    <col min="16126" max="16126" width="2.109375" style="2" customWidth="1"/>
    <col min="16127" max="16127" width="16.77734375" style="2" customWidth="1"/>
    <col min="16128" max="16128" width="13.6640625" style="2" customWidth="1"/>
    <col min="16129" max="16138" width="8.6640625" style="2" customWidth="1"/>
    <col min="16139" max="16139" width="20.77734375" style="2" customWidth="1"/>
    <col min="16140" max="16384" width="10.21875" style="2"/>
  </cols>
  <sheetData>
    <row r="1" spans="1:19" ht="30">
      <c r="A1" s="2" t="s">
        <v>0</v>
      </c>
      <c r="B1" s="4"/>
      <c r="C1" s="298" t="s">
        <v>1</v>
      </c>
      <c r="D1" s="298"/>
      <c r="E1" s="298"/>
      <c r="F1" s="19"/>
      <c r="G1" s="19"/>
      <c r="H1" s="19"/>
      <c r="I1" s="19"/>
      <c r="J1" s="19"/>
      <c r="K1" s="19"/>
    </row>
    <row r="2" spans="1:19" ht="23.25">
      <c r="A2" s="2" t="s">
        <v>2</v>
      </c>
      <c r="B2" s="4">
        <v>38353</v>
      </c>
      <c r="C2" s="1142" t="s">
        <v>3</v>
      </c>
      <c r="D2" s="1142"/>
      <c r="E2" s="1142"/>
      <c r="F2" s="19"/>
      <c r="G2" s="19"/>
      <c r="H2" s="19"/>
      <c r="I2" s="19"/>
      <c r="J2" s="19"/>
      <c r="K2" s="19"/>
    </row>
    <row r="3" spans="1:19" ht="23.25">
      <c r="A3" s="2" t="s">
        <v>4</v>
      </c>
      <c r="B3" s="4">
        <v>38717</v>
      </c>
      <c r="C3" s="20" t="s">
        <v>5</v>
      </c>
      <c r="D3" s="25"/>
      <c r="E3" s="25"/>
      <c r="F3" s="19"/>
      <c r="G3" s="25"/>
      <c r="H3" s="19"/>
      <c r="I3" s="19"/>
      <c r="J3" s="19"/>
      <c r="K3" s="19"/>
    </row>
    <row r="4" spans="1:19" ht="29.25" customHeight="1">
      <c r="C4" s="29"/>
      <c r="D4" s="21"/>
      <c r="E4" s="16"/>
      <c r="F4" s="16"/>
      <c r="G4" s="16"/>
      <c r="H4" s="16"/>
      <c r="I4" s="16"/>
      <c r="J4" s="16"/>
      <c r="K4" s="16"/>
    </row>
    <row r="5" spans="1:19" s="6" customFormat="1" ht="49.5" customHeight="1" thickBot="1">
      <c r="C5" s="1143"/>
      <c r="D5" s="1143"/>
      <c r="E5" s="1143"/>
      <c r="F5" s="72"/>
      <c r="G5" s="71" t="s">
        <v>6</v>
      </c>
      <c r="H5" s="72"/>
      <c r="I5" s="71" t="s">
        <v>7</v>
      </c>
      <c r="J5" s="72"/>
      <c r="K5" s="71" t="s">
        <v>8</v>
      </c>
      <c r="L5" s="101"/>
      <c r="M5" s="101"/>
      <c r="Q5" s="277" t="s">
        <v>9</v>
      </c>
      <c r="R5" s="277" t="str">
        <f>K6</f>
        <v>3/23 - 2/24</v>
      </c>
    </row>
    <row r="6" spans="1:19" ht="20.25">
      <c r="C6" s="70"/>
      <c r="D6" s="69" t="s">
        <v>17</v>
      </c>
      <c r="E6" s="70"/>
      <c r="F6" s="74"/>
      <c r="G6" s="73" t="s">
        <v>18</v>
      </c>
      <c r="H6" s="74"/>
      <c r="I6" s="276" t="str">
        <f>G6</f>
        <v>3/23 - 2/24</v>
      </c>
      <c r="J6" s="74"/>
      <c r="K6" s="73" t="str">
        <f>G6</f>
        <v>3/23 - 2/24</v>
      </c>
      <c r="L6" s="55"/>
      <c r="M6" s="55"/>
      <c r="P6" s="32" t="s">
        <v>19</v>
      </c>
      <c r="Q6" s="64">
        <f>E8</f>
        <v>225000</v>
      </c>
      <c r="R6" s="388" t="e">
        <f>MAX(0,'2023.06 to 2024.05 LC'!$F11-$Q$6)</f>
        <v>#VALUE!</v>
      </c>
    </row>
    <row r="7" spans="1:19" s="7" customFormat="1" ht="18">
      <c r="A7" s="7" t="s">
        <v>20</v>
      </c>
      <c r="B7" s="7" t="s">
        <v>20</v>
      </c>
      <c r="C7" s="26">
        <v>1</v>
      </c>
      <c r="D7" s="75" t="s">
        <v>21</v>
      </c>
      <c r="E7" s="75"/>
      <c r="F7" s="92"/>
      <c r="G7" s="301">
        <f ca="1">(SUM(OFFSET('Medical &amp; Rx Total'!$D$7,COUNT('Medical &amp; Rx Total'!$D$8:$D$30),0,-12)))+(SUM(OFFSET('Medical &amp; Rx Total'!$H$7,COUNT('Medical &amp; Rx Total'!$H$8:$H$30),0,-12)))</f>
        <v>17995045.890000001</v>
      </c>
      <c r="H7" s="93"/>
      <c r="I7" s="91">
        <f ca="1">(SUM(OFFSET('Medical &amp; Rx Total'!$G$7,COUNT('Medical &amp; Rx Total'!$G$8:$G$30),0,-12)))</f>
        <v>3858201.0899999994</v>
      </c>
      <c r="J7" s="93"/>
      <c r="K7" s="91">
        <f ca="1">+G7+I7</f>
        <v>21853246.98</v>
      </c>
      <c r="L7" s="102"/>
      <c r="M7" s="102"/>
      <c r="P7" s="35" t="s">
        <v>22</v>
      </c>
      <c r="Q7" s="64">
        <f>E9</f>
        <v>70000</v>
      </c>
      <c r="R7" s="389" t="e">
        <f>MAX(0,'2023.06 to 2024.05 LC'!$F12-$Q$6)</f>
        <v>#VALUE!</v>
      </c>
    </row>
    <row r="8" spans="1:19" ht="18">
      <c r="C8" s="26">
        <f>+C7+1</f>
        <v>2</v>
      </c>
      <c r="D8" s="77" t="s">
        <v>23</v>
      </c>
      <c r="E8" s="462">
        <v>225000</v>
      </c>
      <c r="F8" s="95"/>
      <c r="G8" s="95" t="e">
        <f>-($R$226)</f>
        <v>#VALUE!</v>
      </c>
      <c r="H8" s="95"/>
      <c r="I8" s="95">
        <v>0</v>
      </c>
      <c r="J8" s="95"/>
      <c r="K8" s="95" t="e">
        <f>+I8+G8</f>
        <v>#VALUE!</v>
      </c>
      <c r="L8" s="55"/>
      <c r="M8" s="55"/>
      <c r="R8" s="389" t="e">
        <f>MAX(0,'2023.06 to 2024.05 LC'!$F13-$Q$6)</f>
        <v>#VALUE!</v>
      </c>
    </row>
    <row r="9" spans="1:19" ht="18">
      <c r="C9" s="26">
        <f>+C8+1</f>
        <v>3</v>
      </c>
      <c r="D9" s="15" t="s">
        <v>24</v>
      </c>
      <c r="E9" s="463">
        <v>70000</v>
      </c>
      <c r="F9" s="92"/>
      <c r="G9" s="91" t="e">
        <f ca="1">+G7+G8</f>
        <v>#VALUE!</v>
      </c>
      <c r="H9" s="93"/>
      <c r="I9" s="91">
        <f ca="1">+I8+I7</f>
        <v>3858201.0899999994</v>
      </c>
      <c r="J9" s="93"/>
      <c r="K9" s="91" t="e">
        <f ca="1">+K8+K7</f>
        <v>#VALUE!</v>
      </c>
      <c r="L9" s="55"/>
      <c r="M9" s="55"/>
      <c r="R9" s="389" t="e">
        <f>MAX(0,'2023.06 to 2024.05 LC'!$F14-$Q$6)</f>
        <v>#VALUE!</v>
      </c>
    </row>
    <row r="10" spans="1:19" ht="18">
      <c r="C10" s="26">
        <f>+C9+1</f>
        <v>4</v>
      </c>
      <c r="D10" s="76" t="s">
        <v>26</v>
      </c>
      <c r="E10" s="14"/>
      <c r="F10" s="95"/>
      <c r="G10" s="95">
        <f ca="1">(SUM(OFFSET('Medical &amp; Rx Total'!$B$7,COUNT('Medical &amp; Rx Total'!$B$8:$B$30),0,-13)))-(SUM(OFFSET('Medical &amp; Rx Total'!$B$7,COUNT('Medical &amp; Rx Total'!$B$8:$B$30),0,-1)))</f>
        <v>6948</v>
      </c>
      <c r="H10" s="96"/>
      <c r="I10" s="95">
        <f ca="1">+G10</f>
        <v>6948</v>
      </c>
      <c r="J10" s="95"/>
      <c r="K10" s="95">
        <f ca="1">+G10</f>
        <v>6948</v>
      </c>
      <c r="L10" s="55"/>
      <c r="M10" s="55"/>
      <c r="Q10" s="102"/>
      <c r="R10" s="389" t="e">
        <f>MAX(0,'2023.06 to 2024.05 LC'!$F15-$Q$6)</f>
        <v>#VALUE!</v>
      </c>
    </row>
    <row r="11" spans="1:19" ht="18">
      <c r="C11" s="26">
        <f>+C10+1</f>
        <v>5</v>
      </c>
      <c r="D11" s="67" t="s">
        <v>27</v>
      </c>
      <c r="E11" s="14"/>
      <c r="F11" s="98"/>
      <c r="G11" s="97" t="e">
        <f ca="1">+G9/G10</f>
        <v>#VALUE!</v>
      </c>
      <c r="H11" s="98"/>
      <c r="I11" s="97">
        <f ca="1">+I9/I10</f>
        <v>555.29664507772009</v>
      </c>
      <c r="J11" s="98"/>
      <c r="K11" s="97" t="e">
        <f ca="1">+K9/K10</f>
        <v>#VALUE!</v>
      </c>
      <c r="L11" s="55"/>
      <c r="M11" s="55"/>
      <c r="R11" s="389" t="e">
        <f>MAX(0,'2023.06 to 2024.05 LC'!$F16-$Q$6)</f>
        <v>#VALUE!</v>
      </c>
    </row>
    <row r="12" spans="1:19" ht="9" customHeight="1">
      <c r="C12" s="26" t="s">
        <v>20</v>
      </c>
      <c r="D12" s="16"/>
      <c r="E12" s="16"/>
      <c r="F12" s="92"/>
      <c r="G12" s="55"/>
      <c r="H12" s="55"/>
      <c r="I12" s="55"/>
      <c r="J12" s="55"/>
      <c r="K12" s="55"/>
      <c r="L12" s="55"/>
      <c r="M12" s="55"/>
      <c r="R12" s="389" t="e">
        <f>MAX(0,'2023.06 to 2024.05 LC'!$F17-$Q$6)</f>
        <v>#VALUE!</v>
      </c>
      <c r="S12" s="2" t="s">
        <v>20</v>
      </c>
    </row>
    <row r="13" spans="1:19" ht="20.25">
      <c r="C13" s="68"/>
      <c r="D13" s="69" t="s">
        <v>28</v>
      </c>
      <c r="E13" s="402"/>
      <c r="F13" s="90"/>
      <c r="G13" s="100"/>
      <c r="H13" s="90"/>
      <c r="I13" s="100"/>
      <c r="J13" s="90"/>
      <c r="K13" s="100"/>
      <c r="L13" s="55"/>
      <c r="M13" s="55"/>
      <c r="Q13" s="102"/>
      <c r="R13" s="389" t="e">
        <f>MAX(0,'2023.06 to 2024.05 LC'!$F18-$Q$6)</f>
        <v>#VALUE!</v>
      </c>
    </row>
    <row r="14" spans="1:19" ht="18">
      <c r="C14" s="26">
        <f>C11+1</f>
        <v>6</v>
      </c>
      <c r="D14" s="15" t="s">
        <v>29</v>
      </c>
      <c r="E14" s="14"/>
      <c r="F14" s="92"/>
      <c r="G14" s="91">
        <v>150000</v>
      </c>
      <c r="H14" s="91"/>
      <c r="I14" s="91">
        <v>0</v>
      </c>
      <c r="J14" s="93"/>
      <c r="K14" s="91">
        <f>+I14+G14</f>
        <v>150000</v>
      </c>
      <c r="M14" s="465" t="s">
        <v>30</v>
      </c>
      <c r="R14" s="389" t="e">
        <f>MAX(0,'2023.06 to 2024.05 LC'!$F19-$Q$6)</f>
        <v>#VALUE!</v>
      </c>
    </row>
    <row r="15" spans="1:19" ht="18">
      <c r="C15" s="26">
        <f>+C14+1</f>
        <v>7</v>
      </c>
      <c r="D15" s="1144" t="s">
        <v>31</v>
      </c>
      <c r="E15" s="1144"/>
      <c r="F15" s="92"/>
      <c r="G15" s="92">
        <v>0</v>
      </c>
      <c r="H15" s="101"/>
      <c r="I15" s="92">
        <v>0</v>
      </c>
      <c r="J15" s="92"/>
      <c r="K15" s="92">
        <f>+I15+G15</f>
        <v>0</v>
      </c>
      <c r="L15" s="55"/>
      <c r="M15" s="55"/>
      <c r="R15" s="389" t="e">
        <f>MAX(0,'2023.06 to 2024.05 LC'!$F20-$Q$6)</f>
        <v>#VALUE!</v>
      </c>
    </row>
    <row r="16" spans="1:19" ht="18">
      <c r="C16" s="26">
        <f>+C15+1</f>
        <v>8</v>
      </c>
      <c r="D16" s="14" t="s">
        <v>32</v>
      </c>
      <c r="E16" s="14"/>
      <c r="F16" s="95"/>
      <c r="G16" s="95">
        <f>-($R$227*$Q$6)+(-$Q$7)</f>
        <v>-70000</v>
      </c>
      <c r="H16" s="302"/>
      <c r="I16" s="95">
        <v>0</v>
      </c>
      <c r="J16" s="95"/>
      <c r="K16" s="95">
        <f>+I16+G16</f>
        <v>-70000</v>
      </c>
      <c r="L16" s="55"/>
      <c r="M16" s="55"/>
      <c r="Q16" s="102"/>
      <c r="R16" s="389" t="e">
        <f>MAX(0,'2023.06 to 2024.05 LC'!$F21-$Q$6)</f>
        <v>#VALUE!</v>
      </c>
    </row>
    <row r="17" spans="1:18" ht="18">
      <c r="C17" s="26">
        <f>+C16+1</f>
        <v>9</v>
      </c>
      <c r="D17" s="76" t="s">
        <v>33</v>
      </c>
      <c r="E17" s="14"/>
      <c r="F17" s="92"/>
      <c r="G17" s="91" t="e">
        <f ca="1">+G16+G15+G14+G9</f>
        <v>#VALUE!</v>
      </c>
      <c r="H17" s="92"/>
      <c r="I17" s="91">
        <f ca="1">+I16+I15+I14+I9</f>
        <v>3858201.0899999994</v>
      </c>
      <c r="J17" s="92"/>
      <c r="K17" s="91" t="e">
        <f ca="1">+I17+G17</f>
        <v>#VALUE!</v>
      </c>
      <c r="L17" s="55"/>
      <c r="M17" s="55"/>
      <c r="R17" s="389" t="e">
        <f>MAX(0,'2023.06 to 2024.05 LC'!$F22-$Q$6)</f>
        <v>#VALUE!</v>
      </c>
    </row>
    <row r="18" spans="1:18" ht="9" customHeight="1">
      <c r="C18" s="26"/>
      <c r="D18" s="76"/>
      <c r="E18" s="14"/>
      <c r="F18" s="92"/>
      <c r="G18" s="91"/>
      <c r="H18" s="92"/>
      <c r="I18" s="91"/>
      <c r="J18" s="92"/>
      <c r="K18" s="91"/>
      <c r="L18" s="55"/>
      <c r="M18" s="55"/>
      <c r="R18" s="389" t="e">
        <f>MAX(0,'2023.06 to 2024.05 LC'!$F23-$Q$6)</f>
        <v>#VALUE!</v>
      </c>
    </row>
    <row r="19" spans="1:18" ht="18">
      <c r="C19" s="26">
        <f>C17+1</f>
        <v>10</v>
      </c>
      <c r="D19" s="14" t="s">
        <v>34</v>
      </c>
      <c r="E19" s="14"/>
      <c r="F19" s="101"/>
      <c r="G19" s="103">
        <v>0.08</v>
      </c>
      <c r="H19" s="101"/>
      <c r="I19" s="103">
        <v>8.5000000000000006E-2</v>
      </c>
      <c r="J19" s="101"/>
      <c r="K19" s="103" t="e">
        <f ca="1">+((G19*G17)+(I19*I17))/K17</f>
        <v>#VALUE!</v>
      </c>
      <c r="L19" s="55"/>
      <c r="M19" s="55"/>
      <c r="Q19" s="102"/>
      <c r="R19" s="389" t="e">
        <f>MAX(0,'2023.06 to 2024.05 LC'!$F24-$Q$6)</f>
        <v>#VALUE!</v>
      </c>
    </row>
    <row r="20" spans="1:18" ht="18">
      <c r="B20" s="2">
        <v>10</v>
      </c>
      <c r="C20" s="26">
        <f>C19+1</f>
        <v>11</v>
      </c>
      <c r="D20" s="77" t="s">
        <v>35</v>
      </c>
      <c r="F20" s="303"/>
      <c r="G20" s="304">
        <f>(12+(12-COUNT('Medical &amp; Rx Total'!$B$19:$B$30)))+1</f>
        <v>20</v>
      </c>
      <c r="H20" s="305"/>
      <c r="I20" s="304">
        <f>+G20</f>
        <v>20</v>
      </c>
      <c r="J20" s="305"/>
      <c r="K20" s="304">
        <f>+G20</f>
        <v>20</v>
      </c>
      <c r="M20" s="55"/>
      <c r="R20" s="389" t="e">
        <f>MAX(0,'2023.06 to 2024.05 LC'!$F25-$Q$6)</f>
        <v>#VALUE!</v>
      </c>
    </row>
    <row r="21" spans="1:18" s="8" customFormat="1" ht="18">
      <c r="C21" s="26">
        <f>C20+1</f>
        <v>12</v>
      </c>
      <c r="D21" s="78" t="s">
        <v>36</v>
      </c>
      <c r="E21" s="22"/>
      <c r="F21" s="91"/>
      <c r="G21" s="104">
        <f>+((1+G19)^(G20/12))-1</f>
        <v>0.13685809661716242</v>
      </c>
      <c r="H21" s="91"/>
      <c r="I21" s="104">
        <f>+((1+I19)^(I20/12))-1</f>
        <v>0.14564367999814354</v>
      </c>
      <c r="J21" s="91"/>
      <c r="K21" s="104" t="e">
        <f ca="1">+((1+K19)^(K20/12))-1</f>
        <v>#VALUE!</v>
      </c>
      <c r="L21" s="105"/>
      <c r="M21" s="105"/>
      <c r="Q21" s="55"/>
      <c r="R21" s="389" t="e">
        <f>MAX(0,'2023.06 to 2024.05 LC'!$F26-$Q$6)</f>
        <v>#VALUE!</v>
      </c>
    </row>
    <row r="22" spans="1:18" s="8" customFormat="1" ht="18">
      <c r="C22" s="26">
        <f>C21+1</f>
        <v>13</v>
      </c>
      <c r="D22" s="78" t="s">
        <v>37</v>
      </c>
      <c r="E22" s="22"/>
      <c r="F22" s="91"/>
      <c r="G22" s="91" t="e">
        <f ca="1">+(1+G21)*G17</f>
        <v>#VALUE!</v>
      </c>
      <c r="H22" s="91"/>
      <c r="I22" s="91">
        <f ca="1">+(1+I21)*I17</f>
        <v>4420123.6949204477</v>
      </c>
      <c r="J22" s="91"/>
      <c r="K22" s="91" t="e">
        <f ca="1">+I22+G22</f>
        <v>#VALUE!</v>
      </c>
      <c r="L22" s="105"/>
      <c r="M22" s="105"/>
      <c r="Q22" s="102"/>
      <c r="R22" s="389" t="e">
        <f>MAX(0,'2023.06 to 2024.05 LC'!$F27-$Q$6)</f>
        <v>#VALUE!</v>
      </c>
    </row>
    <row r="23" spans="1:18" ht="18">
      <c r="C23" s="26">
        <f>+C22+1</f>
        <v>14</v>
      </c>
      <c r="D23" s="14" t="s">
        <v>38</v>
      </c>
      <c r="E23" s="14"/>
      <c r="F23" s="96"/>
      <c r="G23" s="95">
        <f>-G16</f>
        <v>70000</v>
      </c>
      <c r="H23" s="96"/>
      <c r="I23" s="95">
        <v>0</v>
      </c>
      <c r="J23" s="96"/>
      <c r="K23" s="95">
        <f>+I23+G23</f>
        <v>70000</v>
      </c>
      <c r="L23" s="55"/>
      <c r="M23" s="55"/>
      <c r="R23" s="389" t="e">
        <f>MAX(0,'2023.06 to 2024.05 LC'!$F28-$Q$6)</f>
        <v>#VALUE!</v>
      </c>
    </row>
    <row r="24" spans="1:18" ht="18">
      <c r="C24" s="26">
        <f>C23+1</f>
        <v>15</v>
      </c>
      <c r="D24" s="78" t="s">
        <v>39</v>
      </c>
      <c r="E24" s="23"/>
      <c r="F24" s="92"/>
      <c r="G24" s="91" t="e">
        <f ca="1">+G23+G22</f>
        <v>#VALUE!</v>
      </c>
      <c r="H24" s="92"/>
      <c r="I24" s="91">
        <f ca="1">+I23+I22</f>
        <v>4420123.6949204477</v>
      </c>
      <c r="J24" s="92"/>
      <c r="K24" s="91" t="e">
        <f ca="1">+I24+G24+M24</f>
        <v>#VALUE!</v>
      </c>
      <c r="L24" s="55"/>
      <c r="M24" s="56"/>
      <c r="R24" s="389" t="e">
        <f>MAX(0,'2023.06 to 2024.05 LC'!$F29-$Q$6)</f>
        <v>#VALUE!</v>
      </c>
    </row>
    <row r="25" spans="1:18" ht="18">
      <c r="C25" s="87">
        <f>+C24+1</f>
        <v>16</v>
      </c>
      <c r="D25" s="88" t="s">
        <v>40</v>
      </c>
      <c r="E25" s="6"/>
      <c r="F25" s="98"/>
      <c r="G25" s="97" t="e">
        <f ca="1">+G24/G10</f>
        <v>#VALUE!</v>
      </c>
      <c r="H25" s="98"/>
      <c r="I25" s="97">
        <f ca="1">+I24/I10</f>
        <v>636.17209195746227</v>
      </c>
      <c r="J25" s="98"/>
      <c r="K25" s="97" t="e">
        <f ca="1">+K24/K10</f>
        <v>#VALUE!</v>
      </c>
      <c r="L25" s="55"/>
      <c r="M25" s="55"/>
      <c r="Q25" s="102"/>
      <c r="R25" s="389" t="e">
        <f>MAX(0,'2023.06 to 2024.05 LC'!$F30-$Q$6)</f>
        <v>#VALUE!</v>
      </c>
    </row>
    <row r="26" spans="1:18" ht="18">
      <c r="C26" s="87">
        <f>+C25+1</f>
        <v>17</v>
      </c>
      <c r="D26" s="89" t="s">
        <v>41</v>
      </c>
      <c r="E26" s="6"/>
      <c r="F26" s="103"/>
      <c r="G26" s="104"/>
      <c r="H26" s="103"/>
      <c r="I26" s="104" t="s">
        <v>20</v>
      </c>
      <c r="J26" s="103"/>
      <c r="K26" s="103">
        <v>1</v>
      </c>
      <c r="L26" s="55"/>
      <c r="M26" s="55"/>
      <c r="R26" s="389" t="e">
        <f>MAX(0,'2023.06 to 2024.05 LC'!$F31-$Q$6)</f>
        <v>#VALUE!</v>
      </c>
    </row>
    <row r="27" spans="1:18" ht="16.5" customHeight="1">
      <c r="C27" s="87">
        <f>+C26+1</f>
        <v>18</v>
      </c>
      <c r="D27" s="89" t="s">
        <v>42</v>
      </c>
      <c r="E27" s="6"/>
      <c r="F27" s="92"/>
      <c r="G27" s="91" t="s">
        <v>20</v>
      </c>
      <c r="H27" s="92"/>
      <c r="I27" s="91"/>
      <c r="J27" s="92"/>
      <c r="K27" s="97" t="e">
        <f ca="1">+(K26*K25)</f>
        <v>#VALUE!</v>
      </c>
      <c r="L27" s="55"/>
      <c r="M27" s="55"/>
      <c r="R27" s="389" t="e">
        <f>MAX(0,'2023.06 to 2024.05 LC'!$F32-$Q$6)</f>
        <v>#VALUE!</v>
      </c>
    </row>
    <row r="28" spans="1:18" s="12" customFormat="1" ht="9" customHeight="1">
      <c r="C28" s="79"/>
      <c r="D28" s="80"/>
      <c r="E28" s="81"/>
      <c r="F28" s="94"/>
      <c r="G28" s="93"/>
      <c r="H28" s="94"/>
      <c r="I28" s="93"/>
      <c r="J28" s="94"/>
      <c r="K28" s="93"/>
      <c r="L28" s="99"/>
      <c r="M28" s="99"/>
      <c r="Q28" s="102"/>
      <c r="R28" s="389" t="e">
        <f>MAX(0,'2023.06 to 2024.05 LC'!$F33-$Q$6)</f>
        <v>#VALUE!</v>
      </c>
    </row>
    <row r="29" spans="1:18" ht="20.25">
      <c r="A29" s="11" t="e">
        <f>#REF!</f>
        <v>#REF!</v>
      </c>
      <c r="B29" s="11"/>
      <c r="C29" s="68"/>
      <c r="D29" s="69" t="s">
        <v>43</v>
      </c>
      <c r="E29" s="70"/>
      <c r="F29" s="90"/>
      <c r="G29" s="90"/>
      <c r="H29" s="90"/>
      <c r="I29" s="90"/>
      <c r="J29" s="90"/>
      <c r="K29" s="73"/>
      <c r="L29" s="55"/>
      <c r="M29" s="55"/>
      <c r="R29" s="389" t="e">
        <f>MAX(0,'2023.06 to 2024.05 LC'!$F34-$Q$6)</f>
        <v>#VALUE!</v>
      </c>
    </row>
    <row r="30" spans="1:18" s="8" customFormat="1" ht="18">
      <c r="A30" s="11" t="e">
        <f>#REF!</f>
        <v>#REF!</v>
      </c>
      <c r="B30" s="11"/>
      <c r="C30" s="26">
        <f>+C27+1</f>
        <v>19</v>
      </c>
      <c r="D30" s="13" t="s">
        <v>44</v>
      </c>
      <c r="E30" s="22"/>
      <c r="F30" s="59"/>
      <c r="G30" s="59">
        <f>34.39</f>
        <v>34.39</v>
      </c>
      <c r="H30" s="106"/>
      <c r="I30" s="59">
        <f>5.19*1.05</f>
        <v>5.4495000000000005</v>
      </c>
      <c r="J30" s="59"/>
      <c r="K30" s="59">
        <f t="shared" ref="K30:K35" si="0">SUM(G30:I30)</f>
        <v>39.839500000000001</v>
      </c>
      <c r="L30" s="105"/>
      <c r="M30" s="105"/>
      <c r="Q30" s="55"/>
      <c r="R30" s="389" t="e">
        <f>MAX(0,'2023.06 to 2024.05 LC'!$F35-$Q$6)</f>
        <v>#VALUE!</v>
      </c>
    </row>
    <row r="31" spans="1:18" s="8" customFormat="1" ht="18">
      <c r="A31" s="11"/>
      <c r="B31" s="11"/>
      <c r="C31" s="26">
        <f>+C30+1</f>
        <v>20</v>
      </c>
      <c r="D31" s="13" t="s">
        <v>45</v>
      </c>
      <c r="E31" s="22"/>
      <c r="F31" s="59"/>
      <c r="G31" s="60">
        <v>10</v>
      </c>
      <c r="H31" s="309"/>
      <c r="I31" s="60" t="s">
        <v>46</v>
      </c>
      <c r="J31" s="60"/>
      <c r="K31" s="60">
        <f t="shared" si="0"/>
        <v>10</v>
      </c>
      <c r="L31" s="105"/>
      <c r="M31" s="105"/>
      <c r="Q31" s="55"/>
      <c r="R31" s="389" t="e">
        <f>MAX(0,'2023.06 to 2024.05 LC'!$F36-$Q$6)</f>
        <v>#VALUE!</v>
      </c>
    </row>
    <row r="32" spans="1:18" s="8" customFormat="1" ht="18">
      <c r="A32" s="11"/>
      <c r="B32" s="11"/>
      <c r="C32" s="26">
        <f>+C31+1</f>
        <v>21</v>
      </c>
      <c r="D32" s="13" t="s">
        <v>47</v>
      </c>
      <c r="E32" s="22"/>
      <c r="F32" s="59"/>
      <c r="G32" s="60">
        <f>3.75+0.45+1.35+1</f>
        <v>6.5500000000000007</v>
      </c>
      <c r="H32" s="309"/>
      <c r="I32" s="60" t="s">
        <v>46</v>
      </c>
      <c r="J32" s="60"/>
      <c r="K32" s="60">
        <f t="shared" si="0"/>
        <v>6.5500000000000007</v>
      </c>
      <c r="L32" s="105"/>
      <c r="M32" s="105"/>
      <c r="Q32" s="55"/>
      <c r="R32" s="389" t="e">
        <f>MAX(0,'2023.06 to 2024.05 LC'!$F37-$Q$6)</f>
        <v>#VALUE!</v>
      </c>
    </row>
    <row r="33" spans="1:18" s="8" customFormat="1" ht="18">
      <c r="A33" s="11"/>
      <c r="B33" s="11"/>
      <c r="C33" s="26">
        <f>+C32+1</f>
        <v>22</v>
      </c>
      <c r="D33" s="13" t="s">
        <v>48</v>
      </c>
      <c r="E33" s="22"/>
      <c r="F33" s="59"/>
      <c r="G33" s="60">
        <v>15.17</v>
      </c>
      <c r="H33" s="309"/>
      <c r="I33" s="60" t="s">
        <v>46</v>
      </c>
      <c r="J33" s="60"/>
      <c r="K33" s="60">
        <f t="shared" si="0"/>
        <v>15.17</v>
      </c>
      <c r="L33" s="105"/>
      <c r="M33" s="105"/>
      <c r="Q33" s="55"/>
      <c r="R33" s="389" t="e">
        <f>MAX(0,'2023.06 to 2024.05 LC'!$F38-$Q$6)</f>
        <v>#VALUE!</v>
      </c>
    </row>
    <row r="34" spans="1:18" s="8" customFormat="1" ht="18">
      <c r="A34" s="11"/>
      <c r="B34" s="11"/>
      <c r="C34" s="26">
        <f>+C33+1</f>
        <v>23</v>
      </c>
      <c r="D34" s="15" t="s">
        <v>49</v>
      </c>
      <c r="E34" s="22"/>
      <c r="F34" s="91"/>
      <c r="G34" s="60" t="s">
        <v>46</v>
      </c>
      <c r="H34" s="309"/>
      <c r="I34" s="60">
        <f>-45.29*1.05</f>
        <v>-47.554500000000004</v>
      </c>
      <c r="J34" s="60"/>
      <c r="K34" s="60">
        <f t="shared" si="0"/>
        <v>-47.554500000000004</v>
      </c>
      <c r="L34" s="105"/>
      <c r="M34" s="105"/>
      <c r="Q34" s="102"/>
      <c r="R34" s="389" t="e">
        <f>MAX(0,'2023.06 to 2024.05 LC'!$F39-$Q$6)</f>
        <v>#VALUE!</v>
      </c>
    </row>
    <row r="35" spans="1:18" ht="18">
      <c r="A35" s="11"/>
      <c r="B35" s="11"/>
      <c r="C35" s="26">
        <f>C34+1</f>
        <v>24</v>
      </c>
      <c r="D35" s="22" t="str">
        <f>TEXT(P6,"$#,##0")&amp;" - "&amp;TEXT(Q6,"$#,##0") &amp;"    "&amp;TEXT(P7,"$#,##0")&amp;" - "&amp;TEXT(Q7,"$#,##0")</f>
        <v>Specific Stop-Loss - $225,000    Aggregating Specific - $70,000</v>
      </c>
      <c r="E35" s="22"/>
      <c r="F35" s="107"/>
      <c r="G35" s="108">
        <v>92.48583905312222</v>
      </c>
      <c r="H35" s="109"/>
      <c r="I35" s="108" t="s">
        <v>46</v>
      </c>
      <c r="J35" s="108"/>
      <c r="K35" s="108">
        <f t="shared" si="0"/>
        <v>92.48583905312222</v>
      </c>
      <c r="L35" s="55"/>
      <c r="M35" s="55"/>
      <c r="R35" s="389" t="e">
        <f>MAX(0,'2023.06 to 2024.05 LC'!$F41-$Q$6)</f>
        <v>#VALUE!</v>
      </c>
    </row>
    <row r="36" spans="1:18" s="5" customFormat="1" ht="17.45" customHeight="1">
      <c r="B36" s="9"/>
      <c r="C36" s="26">
        <f>+C35+1</f>
        <v>25</v>
      </c>
      <c r="D36" s="23" t="s">
        <v>50</v>
      </c>
      <c r="E36" s="82"/>
      <c r="F36" s="57"/>
      <c r="G36" s="97">
        <f>SUM(G30:G35)</f>
        <v>158.59583905312223</v>
      </c>
      <c r="H36" s="110"/>
      <c r="I36" s="97">
        <f>SUM(I30:I35)</f>
        <v>-42.105000000000004</v>
      </c>
      <c r="J36" s="110"/>
      <c r="K36" s="97">
        <f>SUM(K30:K35)</f>
        <v>116.49083905312222</v>
      </c>
      <c r="L36" s="111"/>
      <c r="M36" s="306"/>
      <c r="N36" s="307"/>
      <c r="Q36" s="55"/>
      <c r="R36" s="389" t="e">
        <f>MAX(0,'2023.06 to 2024.05 LC'!$F42-$Q$6)</f>
        <v>#VALUE!</v>
      </c>
    </row>
    <row r="37" spans="1:18" ht="9" customHeight="1">
      <c r="C37" s="26"/>
      <c r="D37" s="24"/>
      <c r="E37" s="28"/>
      <c r="F37" s="58"/>
      <c r="G37" s="112"/>
      <c r="H37" s="112"/>
      <c r="I37" s="112"/>
      <c r="J37" s="112"/>
      <c r="K37" s="112"/>
      <c r="L37" s="113"/>
      <c r="M37" s="55"/>
      <c r="R37" s="389"/>
    </row>
    <row r="38" spans="1:18" ht="20.85" customHeight="1">
      <c r="C38" s="68">
        <f>C36+1</f>
        <v>26</v>
      </c>
      <c r="D38" s="69" t="s">
        <v>51</v>
      </c>
      <c r="E38" s="86"/>
      <c r="F38" s="115"/>
      <c r="G38" s="114" t="e">
        <f ca="1">+G36+G25</f>
        <v>#VALUE!</v>
      </c>
      <c r="H38" s="115"/>
      <c r="I38" s="114">
        <f ca="1">+I36+I25</f>
        <v>594.06709195746225</v>
      </c>
      <c r="J38" s="115"/>
      <c r="K38" s="114" t="e">
        <f ca="1">+K36+K27</f>
        <v>#VALUE!</v>
      </c>
      <c r="L38" s="113"/>
      <c r="M38" s="55"/>
      <c r="Q38" s="102"/>
      <c r="R38" s="389"/>
    </row>
    <row r="39" spans="1:18" ht="9" customHeight="1">
      <c r="C39" s="26"/>
      <c r="D39" s="28"/>
      <c r="E39" s="28"/>
      <c r="F39" s="58"/>
      <c r="G39" s="112"/>
      <c r="H39" s="112"/>
      <c r="I39" s="112"/>
      <c r="J39" s="112"/>
      <c r="K39" s="112"/>
      <c r="L39" s="113"/>
      <c r="M39" s="55"/>
      <c r="R39" s="389"/>
    </row>
    <row r="40" spans="1:18" ht="17.45" customHeight="1">
      <c r="C40" s="26">
        <f>+C38+1</f>
        <v>27</v>
      </c>
      <c r="D40" s="23" t="s">
        <v>52</v>
      </c>
      <c r="E40" s="14"/>
      <c r="F40" s="116"/>
      <c r="G40" s="117"/>
      <c r="H40" s="117"/>
      <c r="I40" s="117"/>
      <c r="J40" s="117"/>
      <c r="K40" s="61">
        <f ca="1">(SUM(OFFSET('Medical &amp; Rx Total'!$C$7,COUNT('Medical &amp; Rx Total'!$C$8:$C$30),0,-1)))/(SUM(OFFSET('Medical &amp; Rx Total'!$B$7,COUNT('Medical &amp; Rx Total'!$B$8:$B$30),0,-1)))</f>
        <v>1838.9992140468228</v>
      </c>
      <c r="L40" s="118"/>
      <c r="M40" s="55"/>
      <c r="R40" s="389"/>
    </row>
    <row r="41" spans="1:18" ht="9" customHeight="1">
      <c r="C41" s="26"/>
      <c r="D41" s="28"/>
      <c r="E41" s="28"/>
      <c r="F41" s="58"/>
      <c r="G41" s="58"/>
      <c r="H41" s="58"/>
      <c r="I41" s="58"/>
      <c r="J41" s="58"/>
      <c r="K41" s="58"/>
      <c r="L41" s="113"/>
      <c r="M41" s="55"/>
      <c r="Q41" s="102"/>
      <c r="R41" s="389" t="e">
        <f>MAX(0,'2023.06 to 2024.05 LC'!$F47-$Q$6)</f>
        <v>#VALUE!</v>
      </c>
    </row>
    <row r="42" spans="1:18" ht="20.85" customHeight="1">
      <c r="C42" s="26"/>
      <c r="D42" s="24" t="s">
        <v>53</v>
      </c>
      <c r="E42" s="28"/>
      <c r="F42" s="58"/>
      <c r="G42" s="58"/>
      <c r="H42" s="58"/>
      <c r="I42" s="58"/>
      <c r="J42" s="58"/>
      <c r="K42" s="58" t="s">
        <v>20</v>
      </c>
      <c r="L42" s="113"/>
      <c r="M42" s="55"/>
      <c r="R42" s="389" t="e">
        <f>MAX(0,'2023.06 to 2024.05 LC'!$F48-$Q$6)</f>
        <v>#VALUE!</v>
      </c>
    </row>
    <row r="43" spans="1:18" s="31" customFormat="1" ht="17.45" customHeight="1">
      <c r="C43" s="68">
        <f>+C40+1</f>
        <v>28</v>
      </c>
      <c r="D43" s="69" t="s">
        <v>54</v>
      </c>
      <c r="E43" s="86"/>
      <c r="F43" s="115"/>
      <c r="G43" s="114" t="s">
        <v>20</v>
      </c>
      <c r="H43" s="115"/>
      <c r="I43" s="114"/>
      <c r="J43" s="115"/>
      <c r="K43" s="297" t="e">
        <f ca="1">+K38/K40-1</f>
        <v>#VALUE!</v>
      </c>
      <c r="L43" s="119"/>
      <c r="M43" s="119"/>
      <c r="Q43" s="55"/>
      <c r="R43" s="389" t="e">
        <f>MAX(0,'2023.06 to 2024.05 LC'!$F49-$Q$6)</f>
        <v>#VALUE!</v>
      </c>
    </row>
    <row r="44" spans="1:18" s="16" customFormat="1" ht="17.45" customHeight="1">
      <c r="C44" s="26">
        <f>+C43+1</f>
        <v>29</v>
      </c>
      <c r="D44" s="14" t="s">
        <v>55</v>
      </c>
      <c r="E44" s="14"/>
      <c r="F44" s="30"/>
      <c r="G44" s="120"/>
      <c r="H44" s="30"/>
      <c r="I44" s="120"/>
      <c r="J44" s="30"/>
      <c r="K44" s="120" t="e">
        <f ca="1">+((K27*1.015)+$K$36)/$K$40-1</f>
        <v>#VALUE!</v>
      </c>
      <c r="L44" s="49"/>
      <c r="M44" s="49"/>
      <c r="Q44" s="102"/>
      <c r="R44" s="389" t="e">
        <f>MAX(0,'2023.06 to 2024.05 LC'!$F50-$Q$6)</f>
        <v>#VALUE!</v>
      </c>
    </row>
    <row r="45" spans="1:18" s="16" customFormat="1" ht="17.45" customHeight="1">
      <c r="C45" s="26">
        <f>+C44+1</f>
        <v>30</v>
      </c>
      <c r="D45" s="14" t="s">
        <v>56</v>
      </c>
      <c r="E45" s="14"/>
      <c r="F45" s="30"/>
      <c r="G45" s="120"/>
      <c r="H45" s="30"/>
      <c r="I45" s="120"/>
      <c r="J45" s="30"/>
      <c r="K45" s="120" t="e">
        <f ca="1">+((K27*1.03)+$K$36)/$K$40-1</f>
        <v>#VALUE!</v>
      </c>
      <c r="L45" s="49"/>
      <c r="M45" s="49"/>
      <c r="Q45" s="55"/>
      <c r="R45" s="389" t="e">
        <f>MAX(0,'2023.06 to 2024.05 LC'!$F51-$Q$6)</f>
        <v>#VALUE!</v>
      </c>
    </row>
    <row r="46" spans="1:18" s="16" customFormat="1" ht="17.45" customHeight="1">
      <c r="C46" s="26">
        <f>+C45+1</f>
        <v>31</v>
      </c>
      <c r="D46" s="14" t="s">
        <v>57</v>
      </c>
      <c r="E46" s="14"/>
      <c r="F46" s="30"/>
      <c r="G46" s="30"/>
      <c r="H46" s="30"/>
      <c r="I46" s="30"/>
      <c r="J46" s="30"/>
      <c r="K46" s="120" t="e">
        <f ca="1">+((K27*1.05)+$K$36)/$K$40-1</f>
        <v>#VALUE!</v>
      </c>
      <c r="L46" s="49"/>
      <c r="M46" s="49"/>
      <c r="Q46" s="55"/>
      <c r="R46" s="389" t="e">
        <f>MAX(0,'2023.06 to 2024.05 LC'!$F52-$Q$6)</f>
        <v>#VALUE!</v>
      </c>
    </row>
    <row r="47" spans="1:18" hidden="1">
      <c r="C47" s="83">
        <f>+C46+1</f>
        <v>32</v>
      </c>
      <c r="D47" s="84" t="s">
        <v>58</v>
      </c>
      <c r="E47" s="84"/>
      <c r="F47" s="121"/>
      <c r="G47" s="121"/>
      <c r="H47" s="121"/>
      <c r="I47" s="121"/>
      <c r="J47" s="121"/>
      <c r="K47" s="122" t="e">
        <f ca="1">+K44</f>
        <v>#VALUE!</v>
      </c>
      <c r="L47" s="55"/>
      <c r="M47" s="55"/>
      <c r="Q47" s="102"/>
      <c r="R47" s="389" t="e">
        <f>MAX(0,'2023.06 to 2024.05 LC'!$F53-$Q$6)</f>
        <v>#VALUE!</v>
      </c>
    </row>
    <row r="48" spans="1:18">
      <c r="C48" s="85"/>
      <c r="F48" s="55"/>
      <c r="G48" s="55"/>
      <c r="H48" s="55"/>
      <c r="I48" s="55"/>
      <c r="J48" s="55"/>
      <c r="K48" s="55" t="s">
        <v>20</v>
      </c>
      <c r="L48" s="55"/>
      <c r="M48" s="55"/>
      <c r="R48" s="389" t="e">
        <f>MAX(0,'2023.06 to 2024.05 LC'!$F54-$Q$6)</f>
        <v>#VALUE!</v>
      </c>
    </row>
    <row r="49" spans="3:18">
      <c r="C49" s="85" t="s">
        <v>59</v>
      </c>
      <c r="F49" s="55"/>
      <c r="G49" s="55"/>
      <c r="H49" s="55"/>
      <c r="I49" s="55"/>
      <c r="J49" s="55"/>
      <c r="K49" s="123"/>
      <c r="L49" s="55"/>
      <c r="M49" s="55"/>
      <c r="R49" s="389" t="e">
        <f>MAX(0,'2023.06 to 2024.05 LC'!$F55-$Q$6)</f>
        <v>#VALUE!</v>
      </c>
    </row>
    <row r="50" spans="3:18">
      <c r="C50" s="85"/>
      <c r="F50" s="55"/>
      <c r="G50" s="55"/>
      <c r="H50" s="55"/>
      <c r="I50" s="55"/>
      <c r="J50" s="55"/>
      <c r="K50" s="124"/>
      <c r="L50" s="55"/>
      <c r="M50" s="55"/>
      <c r="Q50" s="102"/>
      <c r="R50" s="389" t="e">
        <f>MAX(0,'2023.06 to 2024.05 LC'!$F56-$Q$6)</f>
        <v>#VALUE!</v>
      </c>
    </row>
    <row r="51" spans="3:18">
      <c r="F51" s="55"/>
      <c r="G51" s="55"/>
      <c r="H51" s="55"/>
      <c r="I51" s="55"/>
      <c r="J51" s="55"/>
      <c r="K51" s="55"/>
      <c r="L51" s="55"/>
      <c r="M51" s="55"/>
      <c r="R51" s="389" t="e">
        <f>MAX(0,'2023.06 to 2024.05 LC'!$F57-$Q$6)</f>
        <v>#VALUE!</v>
      </c>
    </row>
    <row r="52" spans="3:18">
      <c r="F52" s="55"/>
      <c r="G52" s="55"/>
      <c r="H52" s="55"/>
      <c r="I52" s="55"/>
      <c r="J52" s="55"/>
      <c r="K52" s="55"/>
      <c r="L52" s="55"/>
      <c r="M52" s="55"/>
      <c r="R52" s="389" t="e">
        <f>MAX(0,'2023.06 to 2024.05 LC'!$F58-$Q$6)</f>
        <v>#VALUE!</v>
      </c>
    </row>
    <row r="53" spans="3:18">
      <c r="F53" s="55"/>
      <c r="G53" s="55"/>
      <c r="H53" s="55"/>
      <c r="I53" s="55"/>
      <c r="J53" s="55"/>
      <c r="K53" s="55"/>
      <c r="L53" s="55"/>
      <c r="M53" s="55"/>
      <c r="Q53" s="102"/>
      <c r="R53" s="389" t="e">
        <f>MAX(0,'2023.06 to 2024.05 LC'!$F59-$Q$6)</f>
        <v>#VALUE!</v>
      </c>
    </row>
    <row r="54" spans="3:18">
      <c r="F54" s="55"/>
      <c r="G54" s="55"/>
      <c r="H54" s="55"/>
      <c r="I54" s="55"/>
      <c r="J54" s="55"/>
      <c r="K54" s="55"/>
      <c r="L54" s="55"/>
      <c r="M54" s="55"/>
      <c r="R54" s="389" t="e">
        <f>MAX(0,'2023.06 to 2024.05 LC'!$F60-$Q$6)</f>
        <v>#VALUE!</v>
      </c>
    </row>
    <row r="55" spans="3:18">
      <c r="F55" s="55"/>
      <c r="G55" s="55"/>
      <c r="H55" s="55"/>
      <c r="I55" s="55"/>
      <c r="J55" s="55"/>
      <c r="K55" s="55"/>
      <c r="L55" s="55"/>
      <c r="M55" s="55"/>
      <c r="R55" s="389" t="e">
        <f>MAX(0,'2023.06 to 2024.05 LC'!$F61-$Q$6)</f>
        <v>#VALUE!</v>
      </c>
    </row>
    <row r="56" spans="3:18">
      <c r="F56" s="55"/>
      <c r="G56" s="55"/>
      <c r="H56" s="55"/>
      <c r="I56" s="55"/>
      <c r="J56" s="55"/>
      <c r="K56" s="55"/>
      <c r="L56" s="55"/>
      <c r="M56" s="55"/>
      <c r="Q56" s="102"/>
      <c r="R56" s="389" t="e">
        <f>MAX(0,'2023.06 to 2024.05 LC'!$F62-$Q$6)</f>
        <v>#VALUE!</v>
      </c>
    </row>
    <row r="57" spans="3:18">
      <c r="F57" s="55"/>
      <c r="G57" s="55"/>
      <c r="H57" s="55"/>
      <c r="I57" s="55"/>
      <c r="J57" s="55"/>
      <c r="K57" s="55"/>
      <c r="L57" s="55"/>
      <c r="M57" s="55"/>
      <c r="R57" s="389" t="e">
        <f>MAX(0,'2023.06 to 2024.05 LC'!$F63-$Q$6)</f>
        <v>#VALUE!</v>
      </c>
    </row>
    <row r="58" spans="3:18">
      <c r="F58" s="55"/>
      <c r="G58" s="55"/>
      <c r="H58" s="55"/>
      <c r="I58" s="55"/>
      <c r="J58" s="55"/>
      <c r="K58" s="55"/>
      <c r="L58" s="55"/>
      <c r="M58" s="55"/>
      <c r="R58" s="389" t="e">
        <f>MAX(0,'2023.06 to 2024.05 LC'!$F64-$Q$6)</f>
        <v>#VALUE!</v>
      </c>
    </row>
    <row r="59" spans="3:18">
      <c r="F59" s="55"/>
      <c r="G59" s="55"/>
      <c r="H59" s="55"/>
      <c r="I59" s="99"/>
      <c r="J59" s="99"/>
      <c r="K59" s="55"/>
      <c r="L59" s="55"/>
      <c r="M59" s="55"/>
      <c r="Q59" s="102"/>
      <c r="R59" s="389" t="e">
        <f>MAX(0,'2023.06 to 2024.05 LC'!$F65-$Q$6)</f>
        <v>#VALUE!</v>
      </c>
    </row>
    <row r="60" spans="3:18">
      <c r="F60" s="55"/>
      <c r="G60" s="55"/>
      <c r="H60" s="55"/>
      <c r="I60" s="99"/>
      <c r="J60" s="99"/>
      <c r="K60" s="55"/>
      <c r="L60" s="55"/>
      <c r="M60" s="55"/>
      <c r="R60" s="389" t="e">
        <f>MAX(0,'2023.06 to 2024.05 LC'!$F66-$Q$6)</f>
        <v>#VALUE!</v>
      </c>
    </row>
    <row r="61" spans="3:18">
      <c r="F61" s="55"/>
      <c r="G61" s="55"/>
      <c r="H61" s="55"/>
      <c r="I61" s="99"/>
      <c r="J61" s="99"/>
      <c r="K61" s="55"/>
      <c r="L61" s="55"/>
      <c r="M61" s="55"/>
      <c r="R61" s="389" t="e">
        <f>MAX(0,'2023.06 to 2024.05 LC'!$F67-$Q$6)</f>
        <v>#VALUE!</v>
      </c>
    </row>
    <row r="62" spans="3:18">
      <c r="F62" s="55"/>
      <c r="G62" s="55"/>
      <c r="H62" s="55"/>
      <c r="I62" s="55"/>
      <c r="J62" s="55"/>
      <c r="K62" s="55"/>
      <c r="L62" s="55"/>
      <c r="M62" s="55"/>
      <c r="Q62" s="102"/>
      <c r="R62" s="389" t="e">
        <f>MAX(0,'2023.06 to 2024.05 LC'!$F68-$Q$6)</f>
        <v>#VALUE!</v>
      </c>
    </row>
    <row r="63" spans="3:18">
      <c r="F63" s="55"/>
      <c r="G63" s="55"/>
      <c r="H63" s="55"/>
      <c r="I63" s="55"/>
      <c r="J63" s="55"/>
      <c r="K63" s="55"/>
      <c r="L63" s="55"/>
      <c r="M63" s="55"/>
      <c r="R63" s="389" t="e">
        <f>MAX(0,'2023.06 to 2024.05 LC'!$F69-$Q$6)</f>
        <v>#VALUE!</v>
      </c>
    </row>
    <row r="64" spans="3:18">
      <c r="F64" s="55"/>
      <c r="G64" s="55"/>
      <c r="H64" s="55"/>
      <c r="I64" s="55"/>
      <c r="J64" s="55"/>
      <c r="K64" s="99"/>
      <c r="L64" s="55"/>
      <c r="M64" s="55"/>
      <c r="R64" s="389" t="e">
        <f>MAX(0,'2023.06 to 2024.05 LC'!$F70-$Q$6)</f>
        <v>#VALUE!</v>
      </c>
    </row>
    <row r="65" spans="6:18">
      <c r="F65" s="55"/>
      <c r="G65" s="55"/>
      <c r="H65" s="55"/>
      <c r="I65" s="55"/>
      <c r="J65" s="55"/>
      <c r="K65" s="55"/>
      <c r="L65" s="55"/>
      <c r="M65" s="55"/>
      <c r="Q65" s="102"/>
      <c r="R65" s="389" t="e">
        <f>MAX(0,'2023.06 to 2024.05 LC'!$F71-$Q$6)</f>
        <v>#VALUE!</v>
      </c>
    </row>
    <row r="66" spans="6:18">
      <c r="F66" s="55"/>
      <c r="G66" s="55"/>
      <c r="H66" s="55"/>
      <c r="I66" s="55"/>
      <c r="J66" s="55"/>
      <c r="K66" s="55"/>
      <c r="L66" s="55"/>
      <c r="M66" s="55"/>
      <c r="R66" s="389" t="e">
        <f>MAX(0,'2023.06 to 2024.05 LC'!$F72-$Q$6)</f>
        <v>#VALUE!</v>
      </c>
    </row>
    <row r="67" spans="6:18">
      <c r="F67" s="55"/>
      <c r="G67" s="55"/>
      <c r="H67" s="55"/>
      <c r="I67" s="55"/>
      <c r="J67" s="55"/>
      <c r="K67" s="55"/>
      <c r="L67" s="55"/>
      <c r="M67" s="55"/>
      <c r="R67" s="389" t="e">
        <f>MAX(0,'2023.06 to 2024.05 LC'!$F73-$Q$6)</f>
        <v>#VALUE!</v>
      </c>
    </row>
    <row r="68" spans="6:18">
      <c r="F68" s="55"/>
      <c r="G68" s="55"/>
      <c r="H68" s="55"/>
      <c r="I68" s="55"/>
      <c r="J68" s="55"/>
      <c r="K68" s="55"/>
      <c r="L68" s="55"/>
      <c r="M68" s="55"/>
      <c r="Q68" s="102"/>
      <c r="R68" s="389" t="e">
        <f>MAX(0,'2023.06 to 2024.05 LC'!$F74-$Q$6)</f>
        <v>#VALUE!</v>
      </c>
    </row>
    <row r="69" spans="6:18">
      <c r="F69" s="55"/>
      <c r="G69" s="55"/>
      <c r="H69" s="55"/>
      <c r="I69" s="55"/>
      <c r="J69" s="55"/>
      <c r="K69" s="55"/>
      <c r="L69" s="55"/>
      <c r="M69" s="55"/>
      <c r="R69" s="389" t="e">
        <f>MAX(0,'2023.06 to 2024.05 LC'!$F75-$Q$6)</f>
        <v>#VALUE!</v>
      </c>
    </row>
    <row r="70" spans="6:18">
      <c r="F70" s="55"/>
      <c r="G70" s="55"/>
      <c r="H70" s="55"/>
      <c r="I70" s="55"/>
      <c r="J70" s="55"/>
      <c r="K70" s="55"/>
      <c r="L70" s="55"/>
      <c r="M70" s="55"/>
      <c r="R70" s="389" t="e">
        <f>MAX(0,'2023.06 to 2024.05 LC'!$F76-$Q$6)</f>
        <v>#VALUE!</v>
      </c>
    </row>
    <row r="71" spans="6:18">
      <c r="F71" s="55"/>
      <c r="G71" s="55"/>
      <c r="H71" s="55"/>
      <c r="I71" s="55"/>
      <c r="J71" s="55"/>
      <c r="K71" s="55"/>
      <c r="L71" s="55"/>
      <c r="M71" s="55"/>
      <c r="Q71" s="102"/>
      <c r="R71" s="389" t="e">
        <f>MAX(0,'2023.06 to 2024.05 LC'!$F77-$Q$6)</f>
        <v>#VALUE!</v>
      </c>
    </row>
    <row r="72" spans="6:18">
      <c r="F72" s="55"/>
      <c r="G72" s="55"/>
      <c r="H72" s="55"/>
      <c r="I72" s="55"/>
      <c r="J72" s="55"/>
      <c r="K72" s="55"/>
      <c r="L72" s="55"/>
      <c r="M72" s="55"/>
      <c r="R72" s="389" t="e">
        <f>MAX(0,'2023.06 to 2024.05 LC'!$F78-$Q$6)</f>
        <v>#VALUE!</v>
      </c>
    </row>
    <row r="73" spans="6:18">
      <c r="F73" s="55"/>
      <c r="G73" s="55"/>
      <c r="H73" s="55"/>
      <c r="I73" s="55"/>
      <c r="J73" s="55"/>
      <c r="K73" s="55"/>
      <c r="L73" s="55"/>
      <c r="M73" s="55"/>
      <c r="R73" s="389" t="e">
        <f>MAX(0,'2023.06 to 2024.05 LC'!$F79-$Q$6)</f>
        <v>#VALUE!</v>
      </c>
    </row>
    <row r="74" spans="6:18">
      <c r="F74" s="55"/>
      <c r="G74" s="55"/>
      <c r="H74" s="55"/>
      <c r="I74" s="55"/>
      <c r="J74" s="55"/>
      <c r="K74" s="55"/>
      <c r="L74" s="55"/>
      <c r="M74" s="55"/>
      <c r="Q74" s="102"/>
      <c r="R74" s="389" t="e">
        <f>MAX(0,'2023.06 to 2024.05 LC'!$F80-$Q$6)</f>
        <v>#VALUE!</v>
      </c>
    </row>
    <row r="75" spans="6:18">
      <c r="F75" s="55"/>
      <c r="G75" s="55"/>
      <c r="H75" s="55"/>
      <c r="I75" s="55"/>
      <c r="J75" s="55"/>
      <c r="K75" s="55"/>
      <c r="L75" s="55"/>
      <c r="M75" s="55"/>
      <c r="R75" s="389" t="e">
        <f>MAX(0,'2023.06 to 2024.05 LC'!$F81-$Q$6)</f>
        <v>#VALUE!</v>
      </c>
    </row>
    <row r="76" spans="6:18">
      <c r="F76" s="55"/>
      <c r="G76" s="55"/>
      <c r="H76" s="55"/>
      <c r="I76" s="55"/>
      <c r="J76" s="55"/>
      <c r="K76" s="55"/>
      <c r="L76" s="55"/>
      <c r="M76" s="55"/>
      <c r="R76" s="389" t="e">
        <f>MAX(0,'2023.06 to 2024.05 LC'!$F82-$Q$6)</f>
        <v>#VALUE!</v>
      </c>
    </row>
    <row r="77" spans="6:18">
      <c r="F77" s="55"/>
      <c r="G77" s="55"/>
      <c r="H77" s="55"/>
      <c r="I77" s="55"/>
      <c r="J77" s="55"/>
      <c r="K77" s="55"/>
      <c r="L77" s="55"/>
      <c r="M77" s="55"/>
      <c r="Q77" s="102"/>
      <c r="R77" s="389" t="e">
        <f>MAX(0,'2023.06 to 2024.05 LC'!$F83-$Q$6)</f>
        <v>#VALUE!</v>
      </c>
    </row>
    <row r="78" spans="6:18">
      <c r="F78" s="55"/>
      <c r="G78" s="55"/>
      <c r="H78" s="55"/>
      <c r="I78" s="55"/>
      <c r="J78" s="55"/>
      <c r="K78" s="55"/>
      <c r="L78" s="55"/>
      <c r="M78" s="55"/>
      <c r="R78" s="389" t="e">
        <f>MAX(0,'2023.06 to 2024.05 LC'!$F84-$Q$6)</f>
        <v>#VALUE!</v>
      </c>
    </row>
    <row r="79" spans="6:18">
      <c r="F79" s="55"/>
      <c r="G79" s="55"/>
      <c r="H79" s="55"/>
      <c r="I79" s="55"/>
      <c r="J79" s="55"/>
      <c r="K79" s="55"/>
      <c r="L79" s="55"/>
      <c r="M79" s="55"/>
      <c r="R79" s="389" t="e">
        <f>MAX(0,'2023.06 to 2024.05 LC'!$F85-$Q$6)</f>
        <v>#VALUE!</v>
      </c>
    </row>
    <row r="80" spans="6:18">
      <c r="F80" s="55"/>
      <c r="G80" s="55"/>
      <c r="H80" s="55"/>
      <c r="I80" s="55"/>
      <c r="J80" s="55"/>
      <c r="K80" s="55"/>
      <c r="L80" s="55"/>
      <c r="M80" s="55"/>
      <c r="Q80" s="102"/>
      <c r="R80" s="389" t="e">
        <f>MAX(0,'2023.06 to 2024.05 LC'!$F86-$Q$6)</f>
        <v>#VALUE!</v>
      </c>
    </row>
    <row r="81" spans="6:18">
      <c r="F81" s="55"/>
      <c r="G81" s="55"/>
      <c r="H81" s="55"/>
      <c r="I81" s="55"/>
      <c r="J81" s="55"/>
      <c r="K81" s="55"/>
      <c r="L81" s="55"/>
      <c r="M81" s="55"/>
      <c r="R81" s="389" t="e">
        <f>MAX(0,'2023.06 to 2024.05 LC'!$F87-$Q$6)</f>
        <v>#VALUE!</v>
      </c>
    </row>
    <row r="82" spans="6:18">
      <c r="H82" s="2"/>
      <c r="R82" s="389" t="e">
        <f>MAX(0,'2023.06 to 2024.05 LC'!$F88-$Q$6)</f>
        <v>#VALUE!</v>
      </c>
    </row>
    <row r="83" spans="6:18">
      <c r="H83" s="2"/>
      <c r="Q83" s="102"/>
      <c r="R83" s="389" t="e">
        <f>MAX(0,'2023.06 to 2024.05 LC'!$F89-$Q$6)</f>
        <v>#VALUE!</v>
      </c>
    </row>
    <row r="84" spans="6:18">
      <c r="H84" s="2"/>
      <c r="R84" s="389" t="e">
        <f>MAX(0,'2023.06 to 2024.05 LC'!$F90-$Q$6)</f>
        <v>#VALUE!</v>
      </c>
    </row>
    <row r="85" spans="6:18">
      <c r="H85" s="2"/>
      <c r="R85" s="389" t="e">
        <f>MAX(0,'2023.06 to 2024.05 LC'!$F91-$Q$6)</f>
        <v>#VALUE!</v>
      </c>
    </row>
    <row r="86" spans="6:18">
      <c r="H86" s="2"/>
      <c r="Q86" s="102"/>
      <c r="R86" s="389" t="e">
        <f>MAX(0,'2023.06 to 2024.05 LC'!$F92-$Q$6)</f>
        <v>#VALUE!</v>
      </c>
    </row>
    <row r="87" spans="6:18">
      <c r="H87" s="2"/>
      <c r="R87" s="389" t="e">
        <f>MAX(0,'2023.06 to 2024.05 LC'!$F93-$Q$6)</f>
        <v>#VALUE!</v>
      </c>
    </row>
    <row r="88" spans="6:18">
      <c r="H88" s="2"/>
      <c r="R88" s="389" t="e">
        <f>MAX(0,'2023.06 to 2024.05 LC'!$F94-$Q$6)</f>
        <v>#VALUE!</v>
      </c>
    </row>
    <row r="89" spans="6:18">
      <c r="H89" s="2"/>
      <c r="Q89" s="102"/>
      <c r="R89" s="389" t="e">
        <f>MAX(0,'2023.06 to 2024.05 LC'!$F95-$Q$6)</f>
        <v>#VALUE!</v>
      </c>
    </row>
    <row r="90" spans="6:18">
      <c r="H90" s="2"/>
      <c r="R90" s="389" t="e">
        <f>MAX(0,'2023.06 to 2024.05 LC'!$F96-$Q$6)</f>
        <v>#VALUE!</v>
      </c>
    </row>
    <row r="91" spans="6:18">
      <c r="H91" s="2"/>
      <c r="R91" s="389" t="e">
        <f>MAX(0,'2023.06 to 2024.05 LC'!$F97-$Q$6)</f>
        <v>#VALUE!</v>
      </c>
    </row>
    <row r="92" spans="6:18">
      <c r="H92" s="2"/>
      <c r="Q92" s="102"/>
      <c r="R92" s="389" t="e">
        <f>MAX(0,'2023.06 to 2024.05 LC'!$F98-$Q$6)</f>
        <v>#VALUE!</v>
      </c>
    </row>
    <row r="93" spans="6:18">
      <c r="H93" s="2"/>
      <c r="R93" s="389" t="e">
        <f>MAX(0,'2023.06 to 2024.05 LC'!$F99-$Q$6)</f>
        <v>#VALUE!</v>
      </c>
    </row>
    <row r="94" spans="6:18">
      <c r="H94" s="2"/>
      <c r="R94" s="389" t="e">
        <f>MAX(0,'2023.06 to 2024.05 LC'!$F100-$Q$6)</f>
        <v>#VALUE!</v>
      </c>
    </row>
    <row r="95" spans="6:18">
      <c r="H95" s="2"/>
      <c r="Q95" s="102"/>
      <c r="R95" s="389" t="e">
        <f>MAX(0,'2023.06 to 2024.05 LC'!$F101-$Q$6)</f>
        <v>#VALUE!</v>
      </c>
    </row>
    <row r="96" spans="6:18">
      <c r="H96" s="2"/>
      <c r="R96" s="389" t="e">
        <f>MAX(0,'2023.06 to 2024.05 LC'!$F102-$Q$6)</f>
        <v>#VALUE!</v>
      </c>
    </row>
    <row r="97" spans="8:18">
      <c r="H97" s="2"/>
      <c r="R97" s="389" t="e">
        <f>MAX(0,'2023.06 to 2024.05 LC'!$F103-$Q$6)</f>
        <v>#VALUE!</v>
      </c>
    </row>
    <row r="98" spans="8:18">
      <c r="H98" s="2"/>
      <c r="Q98" s="102"/>
      <c r="R98" s="389" t="e">
        <f>MAX(0,'2023.06 to 2024.05 LC'!$F104-$Q$6)</f>
        <v>#VALUE!</v>
      </c>
    </row>
    <row r="99" spans="8:18">
      <c r="H99" s="2"/>
      <c r="R99" s="389" t="e">
        <f>MAX(0,'2023.06 to 2024.05 LC'!$F105-$Q$6)</f>
        <v>#VALUE!</v>
      </c>
    </row>
    <row r="100" spans="8:18">
      <c r="H100" s="2"/>
      <c r="R100" s="389" t="e">
        <f>MAX(0,'2023.06 to 2024.05 LC'!$F106-$Q$6)</f>
        <v>#VALUE!</v>
      </c>
    </row>
    <row r="101" spans="8:18">
      <c r="H101" s="2"/>
      <c r="Q101" s="102"/>
      <c r="R101" s="389" t="e">
        <f>MAX(0,'2023.06 to 2024.05 LC'!$F107-$Q$6)</f>
        <v>#VALUE!</v>
      </c>
    </row>
    <row r="102" spans="8:18">
      <c r="H102" s="2"/>
      <c r="R102" s="389" t="e">
        <f>MAX(0,'2023.06 to 2024.05 LC'!$F108-$Q$6)</f>
        <v>#VALUE!</v>
      </c>
    </row>
    <row r="103" spans="8:18">
      <c r="H103" s="2"/>
      <c r="R103" s="389" t="e">
        <f>MAX(0,'2023.06 to 2024.05 LC'!$F109-$Q$6)</f>
        <v>#VALUE!</v>
      </c>
    </row>
    <row r="104" spans="8:18">
      <c r="H104" s="2"/>
      <c r="Q104" s="102"/>
      <c r="R104" s="389" t="e">
        <f>MAX(0,'2023.06 to 2024.05 LC'!$F110-$Q$6)</f>
        <v>#VALUE!</v>
      </c>
    </row>
    <row r="105" spans="8:18">
      <c r="H105" s="2"/>
      <c r="R105" s="389" t="e">
        <f>MAX(0,'2023.06 to 2024.05 LC'!$F111-$Q$6)</f>
        <v>#VALUE!</v>
      </c>
    </row>
    <row r="106" spans="8:18">
      <c r="H106" s="2"/>
      <c r="R106" s="389" t="e">
        <f>MAX(0,'2023.06 to 2024.05 LC'!$F112-$Q$6)</f>
        <v>#VALUE!</v>
      </c>
    </row>
    <row r="107" spans="8:18">
      <c r="H107" s="2"/>
      <c r="Q107" s="102"/>
      <c r="R107" s="389" t="e">
        <f>MAX(0,'2023.06 to 2024.05 LC'!$F113-$Q$6)</f>
        <v>#VALUE!</v>
      </c>
    </row>
    <row r="108" spans="8:18">
      <c r="H108" s="2"/>
      <c r="R108" s="389" t="e">
        <f>MAX(0,'2023.06 to 2024.05 LC'!$F114-$Q$6)</f>
        <v>#VALUE!</v>
      </c>
    </row>
    <row r="109" spans="8:18">
      <c r="H109" s="2"/>
      <c r="R109" s="389" t="e">
        <f>MAX(0,'2023.06 to 2024.05 LC'!$F115-$Q$6)</f>
        <v>#VALUE!</v>
      </c>
    </row>
    <row r="110" spans="8:18">
      <c r="H110" s="2"/>
      <c r="Q110" s="102"/>
      <c r="R110" s="389" t="e">
        <f>MAX(0,'2023.06 to 2024.05 LC'!$F116-$Q$6)</f>
        <v>#VALUE!</v>
      </c>
    </row>
    <row r="111" spans="8:18">
      <c r="H111" s="2"/>
      <c r="R111" s="389" t="e">
        <f>MAX(0,'2023.06 to 2024.05 LC'!$F117-$Q$6)</f>
        <v>#VALUE!</v>
      </c>
    </row>
    <row r="112" spans="8:18">
      <c r="H112" s="2"/>
      <c r="R112" s="389" t="e">
        <f>MAX(0,'2023.06 to 2024.05 LC'!$F118-$Q$6)</f>
        <v>#VALUE!</v>
      </c>
    </row>
    <row r="113" spans="8:18">
      <c r="H113" s="2"/>
      <c r="Q113" s="102"/>
      <c r="R113" s="389" t="e">
        <f>MAX(0,'2023.06 to 2024.05 LC'!$F119-$Q$6)</f>
        <v>#VALUE!</v>
      </c>
    </row>
    <row r="114" spans="8:18">
      <c r="H114" s="2"/>
      <c r="R114" s="389" t="e">
        <f>MAX(0,'2023.06 to 2024.05 LC'!$F120-$Q$6)</f>
        <v>#VALUE!</v>
      </c>
    </row>
    <row r="115" spans="8:18">
      <c r="H115" s="2"/>
      <c r="R115" s="389" t="e">
        <f>MAX(0,'2023.06 to 2024.05 LC'!$F121-$Q$6)</f>
        <v>#VALUE!</v>
      </c>
    </row>
    <row r="116" spans="8:18">
      <c r="H116" s="2"/>
      <c r="Q116" s="102"/>
      <c r="R116" s="389" t="e">
        <f>MAX(0,'2023.06 to 2024.05 LC'!$F122-$Q$6)</f>
        <v>#VALUE!</v>
      </c>
    </row>
    <row r="117" spans="8:18">
      <c r="H117" s="2"/>
      <c r="R117" s="389" t="e">
        <f>MAX(0,'2023.06 to 2024.05 LC'!$F123-$Q$6)</f>
        <v>#VALUE!</v>
      </c>
    </row>
    <row r="118" spans="8:18">
      <c r="H118" s="2"/>
      <c r="R118" s="389" t="e">
        <f>MAX(0,'2023.06 to 2024.05 LC'!$F124-$Q$6)</f>
        <v>#VALUE!</v>
      </c>
    </row>
    <row r="119" spans="8:18">
      <c r="H119" s="2"/>
      <c r="Q119" s="102"/>
      <c r="R119" s="389" t="e">
        <f>MAX(0,'2023.06 to 2024.05 LC'!$F125-$Q$6)</f>
        <v>#VALUE!</v>
      </c>
    </row>
    <row r="120" spans="8:18">
      <c r="H120" s="2"/>
      <c r="R120" s="389" t="e">
        <f>MAX(0,'2023.06 to 2024.05 LC'!$F126-$Q$6)</f>
        <v>#VALUE!</v>
      </c>
    </row>
    <row r="121" spans="8:18">
      <c r="H121" s="2"/>
      <c r="R121" s="389" t="e">
        <f>MAX(0,'2023.06 to 2024.05 LC'!$F127-$Q$6)</f>
        <v>#VALUE!</v>
      </c>
    </row>
    <row r="122" spans="8:18">
      <c r="H122" s="2"/>
      <c r="Q122" s="102"/>
      <c r="R122" s="389" t="e">
        <f>MAX(0,'2023.06 to 2024.05 LC'!$F128-$Q$6)</f>
        <v>#VALUE!</v>
      </c>
    </row>
    <row r="123" spans="8:18">
      <c r="H123" s="2"/>
      <c r="R123" s="389" t="e">
        <f>MAX(0,'2023.06 to 2024.05 LC'!$F129-$Q$6)</f>
        <v>#VALUE!</v>
      </c>
    </row>
    <row r="124" spans="8:18">
      <c r="H124" s="2"/>
      <c r="R124" s="389" t="e">
        <f>MAX(0,'2023.06 to 2024.05 LC'!$F130-$Q$6)</f>
        <v>#VALUE!</v>
      </c>
    </row>
    <row r="125" spans="8:18">
      <c r="H125" s="2"/>
      <c r="Q125" s="102"/>
      <c r="R125" s="389" t="e">
        <f>MAX(0,'2023.06 to 2024.05 LC'!$F131-$Q$6)</f>
        <v>#VALUE!</v>
      </c>
    </row>
    <row r="126" spans="8:18">
      <c r="H126" s="2"/>
      <c r="R126" s="389" t="e">
        <f>MAX(0,'2023.06 to 2024.05 LC'!$F132-$Q$6)</f>
        <v>#VALUE!</v>
      </c>
    </row>
    <row r="127" spans="8:18">
      <c r="H127" s="2"/>
      <c r="R127" s="389" t="e">
        <f>MAX(0,'2023.06 to 2024.05 LC'!$F133-$Q$6)</f>
        <v>#VALUE!</v>
      </c>
    </row>
    <row r="128" spans="8:18">
      <c r="H128" s="2"/>
      <c r="Q128" s="102"/>
      <c r="R128" s="389" t="e">
        <f>MAX(0,'2023.06 to 2024.05 LC'!$F134-$Q$6)</f>
        <v>#VALUE!</v>
      </c>
    </row>
    <row r="129" spans="8:18">
      <c r="H129" s="2"/>
      <c r="R129" s="389" t="e">
        <f>MAX(0,'2023.06 to 2024.05 LC'!$F135-$Q$6)</f>
        <v>#VALUE!</v>
      </c>
    </row>
    <row r="130" spans="8:18">
      <c r="H130" s="2"/>
      <c r="R130" s="389" t="e">
        <f>MAX(0,'2023.06 to 2024.05 LC'!$F136-$Q$6)</f>
        <v>#VALUE!</v>
      </c>
    </row>
    <row r="131" spans="8:18">
      <c r="H131" s="2"/>
      <c r="Q131" s="102"/>
      <c r="R131" s="389" t="e">
        <f>MAX(0,'2023.06 to 2024.05 LC'!$F137-$Q$6)</f>
        <v>#VALUE!</v>
      </c>
    </row>
    <row r="132" spans="8:18">
      <c r="H132" s="2"/>
      <c r="R132" s="389" t="e">
        <f>MAX(0,'2023.06 to 2024.05 LC'!$F138-$Q$6)</f>
        <v>#VALUE!</v>
      </c>
    </row>
    <row r="133" spans="8:18">
      <c r="H133" s="2"/>
      <c r="R133" s="389" t="e">
        <f>MAX(0,'2023.06 to 2024.05 LC'!$F139-$Q$6)</f>
        <v>#VALUE!</v>
      </c>
    </row>
    <row r="134" spans="8:18">
      <c r="H134" s="2"/>
      <c r="Q134" s="102"/>
      <c r="R134" s="389" t="e">
        <f>MAX(0,'2023.06 to 2024.05 LC'!$F140-$Q$6)</f>
        <v>#VALUE!</v>
      </c>
    </row>
    <row r="135" spans="8:18">
      <c r="H135" s="2"/>
      <c r="R135" s="389" t="e">
        <f>MAX(0,'2023.06 to 2024.05 LC'!$F141-$Q$6)</f>
        <v>#VALUE!</v>
      </c>
    </row>
    <row r="136" spans="8:18">
      <c r="H136" s="2"/>
      <c r="R136" s="389" t="e">
        <f>MAX(0,'2023.06 to 2024.05 LC'!$F142-$Q$6)</f>
        <v>#VALUE!</v>
      </c>
    </row>
    <row r="137" spans="8:18">
      <c r="H137" s="2"/>
      <c r="Q137" s="102"/>
      <c r="R137" s="389" t="e">
        <f>MAX(0,'2023.06 to 2024.05 LC'!$F143-$Q$6)</f>
        <v>#VALUE!</v>
      </c>
    </row>
    <row r="138" spans="8:18">
      <c r="H138" s="2"/>
      <c r="R138" s="389" t="e">
        <f>MAX(0,'2023.06 to 2024.05 LC'!$F144-$Q$6)</f>
        <v>#VALUE!</v>
      </c>
    </row>
    <row r="139" spans="8:18">
      <c r="H139" s="2"/>
      <c r="R139" s="389" t="e">
        <f>MAX(0,'2023.06 to 2024.05 LC'!$F145-$Q$6)</f>
        <v>#VALUE!</v>
      </c>
    </row>
    <row r="140" spans="8:18">
      <c r="H140" s="2"/>
      <c r="Q140" s="102"/>
      <c r="R140" s="389" t="e">
        <f>MAX(0,'2023.06 to 2024.05 LC'!$F146-$Q$6)</f>
        <v>#VALUE!</v>
      </c>
    </row>
    <row r="141" spans="8:18">
      <c r="H141" s="2"/>
      <c r="R141" s="389" t="e">
        <f>MAX(0,'2023.06 to 2024.05 LC'!$F147-$Q$6)</f>
        <v>#VALUE!</v>
      </c>
    </row>
    <row r="142" spans="8:18">
      <c r="H142" s="2"/>
      <c r="R142" s="389" t="e">
        <f>MAX(0,'2023.06 to 2024.05 LC'!$F148-$Q$6)</f>
        <v>#VALUE!</v>
      </c>
    </row>
    <row r="143" spans="8:18">
      <c r="H143" s="2"/>
      <c r="Q143" s="102"/>
      <c r="R143" s="389" t="e">
        <f>MAX(0,'2023.06 to 2024.05 LC'!$F149-$Q$6)</f>
        <v>#VALUE!</v>
      </c>
    </row>
    <row r="144" spans="8:18">
      <c r="H144" s="2"/>
      <c r="R144" s="389" t="e">
        <f>MAX(0,'2023.06 to 2024.05 LC'!$F150-$Q$6)</f>
        <v>#VALUE!</v>
      </c>
    </row>
    <row r="145" spans="8:18">
      <c r="H145" s="2"/>
      <c r="R145" s="389" t="e">
        <f>MAX(0,'2023.06 to 2024.05 LC'!$F151-$Q$6)</f>
        <v>#VALUE!</v>
      </c>
    </row>
    <row r="146" spans="8:18">
      <c r="H146" s="2"/>
      <c r="Q146" s="102"/>
      <c r="R146" s="389" t="e">
        <f>MAX(0,'2023.06 to 2024.05 LC'!$F152-$Q$6)</f>
        <v>#VALUE!</v>
      </c>
    </row>
    <row r="147" spans="8:18">
      <c r="H147" s="2"/>
      <c r="R147" s="389" t="e">
        <f>MAX(0,'2023.06 to 2024.05 LC'!$F153-$Q$6)</f>
        <v>#VALUE!</v>
      </c>
    </row>
    <row r="148" spans="8:18">
      <c r="H148" s="2"/>
      <c r="R148" s="389" t="e">
        <f>MAX(0,'2023.06 to 2024.05 LC'!$F154-$Q$6)</f>
        <v>#VALUE!</v>
      </c>
    </row>
    <row r="149" spans="8:18">
      <c r="H149" s="2"/>
      <c r="Q149" s="102"/>
      <c r="R149" s="389" t="e">
        <f>MAX(0,'2023.06 to 2024.05 LC'!$F155-$Q$6)</f>
        <v>#VALUE!</v>
      </c>
    </row>
    <row r="150" spans="8:18">
      <c r="H150" s="2"/>
      <c r="R150" s="389" t="e">
        <f>MAX(0,'2023.06 to 2024.05 LC'!$F156-$Q$6)</f>
        <v>#VALUE!</v>
      </c>
    </row>
    <row r="151" spans="8:18">
      <c r="H151" s="2"/>
      <c r="R151" s="389" t="e">
        <f>MAX(0,'2023.06 to 2024.05 LC'!$F157-$Q$6)</f>
        <v>#VALUE!</v>
      </c>
    </row>
    <row r="152" spans="8:18">
      <c r="H152" s="2"/>
      <c r="Q152" s="102"/>
      <c r="R152" s="389" t="e">
        <f>MAX(0,'2023.06 to 2024.05 LC'!$F158-$Q$6)</f>
        <v>#VALUE!</v>
      </c>
    </row>
    <row r="153" spans="8:18">
      <c r="H153" s="2"/>
      <c r="R153" s="389" t="e">
        <f>MAX(0,'2023.06 to 2024.05 LC'!$F159-$Q$6)</f>
        <v>#VALUE!</v>
      </c>
    </row>
    <row r="154" spans="8:18">
      <c r="H154" s="2"/>
      <c r="R154" s="389" t="e">
        <f>MAX(0,'2023.06 to 2024.05 LC'!$F160-$Q$6)</f>
        <v>#VALUE!</v>
      </c>
    </row>
    <row r="155" spans="8:18">
      <c r="H155" s="2"/>
      <c r="Q155" s="102"/>
      <c r="R155" s="389" t="e">
        <f>MAX(0,'2023.06 to 2024.05 LC'!$F161-$Q$6)</f>
        <v>#VALUE!</v>
      </c>
    </row>
    <row r="156" spans="8:18">
      <c r="H156" s="2"/>
      <c r="R156" s="389" t="e">
        <f>MAX(0,'2023.06 to 2024.05 LC'!$F162-$Q$6)</f>
        <v>#VALUE!</v>
      </c>
    </row>
    <row r="157" spans="8:18">
      <c r="H157" s="2"/>
      <c r="R157" s="389" t="e">
        <f>MAX(0,'2023.06 to 2024.05 LC'!$F163-$Q$6)</f>
        <v>#VALUE!</v>
      </c>
    </row>
    <row r="158" spans="8:18">
      <c r="H158" s="2"/>
      <c r="Q158" s="102"/>
      <c r="R158" s="389" t="e">
        <f>MAX(0,'2023.06 to 2024.05 LC'!$F164-$Q$6)</f>
        <v>#VALUE!</v>
      </c>
    </row>
    <row r="159" spans="8:18">
      <c r="H159" s="2"/>
      <c r="R159" s="389" t="e">
        <f>MAX(0,'2023.06 to 2024.05 LC'!$F165-$Q$6)</f>
        <v>#VALUE!</v>
      </c>
    </row>
    <row r="160" spans="8:18">
      <c r="H160" s="2"/>
      <c r="R160" s="389" t="e">
        <f>MAX(0,'2023.06 to 2024.05 LC'!$F166-$Q$6)</f>
        <v>#VALUE!</v>
      </c>
    </row>
    <row r="161" spans="8:18">
      <c r="H161" s="2"/>
      <c r="Q161" s="102"/>
      <c r="R161" s="389" t="e">
        <f>MAX(0,'2023.06 to 2024.05 LC'!$F167-$Q$6)</f>
        <v>#VALUE!</v>
      </c>
    </row>
    <row r="162" spans="8:18">
      <c r="H162" s="2"/>
      <c r="R162" s="389" t="e">
        <f>MAX(0,'2023.06 to 2024.05 LC'!$F168-$Q$6)</f>
        <v>#VALUE!</v>
      </c>
    </row>
    <row r="163" spans="8:18">
      <c r="H163" s="2"/>
      <c r="R163" s="389" t="e">
        <f>MAX(0,'2023.06 to 2024.05 LC'!$F169-$Q$6)</f>
        <v>#VALUE!</v>
      </c>
    </row>
    <row r="164" spans="8:18">
      <c r="H164" s="2"/>
      <c r="Q164" s="102"/>
      <c r="R164" s="389" t="e">
        <f>MAX(0,'2023.06 to 2024.05 LC'!$F170-$Q$6)</f>
        <v>#VALUE!</v>
      </c>
    </row>
    <row r="165" spans="8:18">
      <c r="H165" s="2"/>
      <c r="R165" s="389" t="e">
        <f>MAX(0,'2023.06 to 2024.05 LC'!$F171-$Q$6)</f>
        <v>#VALUE!</v>
      </c>
    </row>
    <row r="166" spans="8:18">
      <c r="H166" s="2"/>
      <c r="R166" s="389" t="e">
        <f>MAX(0,'2023.06 to 2024.05 LC'!$F172-$Q$6)</f>
        <v>#VALUE!</v>
      </c>
    </row>
    <row r="167" spans="8:18">
      <c r="H167" s="2"/>
      <c r="Q167" s="102"/>
      <c r="R167" s="389" t="e">
        <f>MAX(0,'2023.06 to 2024.05 LC'!$F173-$Q$6)</f>
        <v>#VALUE!</v>
      </c>
    </row>
    <row r="168" spans="8:18">
      <c r="H168" s="2"/>
      <c r="R168" s="389" t="e">
        <f>MAX(0,'2023.06 to 2024.05 LC'!$F174-$Q$6)</f>
        <v>#VALUE!</v>
      </c>
    </row>
    <row r="169" spans="8:18">
      <c r="H169" s="2"/>
      <c r="R169" s="389" t="e">
        <f>MAX(0,'2023.06 to 2024.05 LC'!$F175-$Q$6)</f>
        <v>#VALUE!</v>
      </c>
    </row>
    <row r="170" spans="8:18">
      <c r="H170" s="2"/>
      <c r="Q170" s="102"/>
      <c r="R170" s="389" t="e">
        <f>MAX(0,'2023.06 to 2024.05 LC'!$F176-$Q$6)</f>
        <v>#VALUE!</v>
      </c>
    </row>
    <row r="171" spans="8:18">
      <c r="H171" s="2"/>
      <c r="R171" s="389" t="e">
        <f>MAX(0,'2023.06 to 2024.05 LC'!$F177-$Q$6)</f>
        <v>#VALUE!</v>
      </c>
    </row>
    <row r="172" spans="8:18">
      <c r="H172" s="2"/>
      <c r="R172" s="389" t="e">
        <f>MAX(0,'2023.06 to 2024.05 LC'!$F178-$Q$6)</f>
        <v>#VALUE!</v>
      </c>
    </row>
    <row r="173" spans="8:18">
      <c r="H173" s="2"/>
      <c r="Q173" s="102"/>
      <c r="R173" s="389" t="e">
        <f>MAX(0,'2023.06 to 2024.05 LC'!$F179-$Q$6)</f>
        <v>#VALUE!</v>
      </c>
    </row>
    <row r="174" spans="8:18">
      <c r="H174" s="2"/>
      <c r="R174" s="389" t="e">
        <f>MAX(0,'2023.06 to 2024.05 LC'!$F180-$Q$6)</f>
        <v>#VALUE!</v>
      </c>
    </row>
    <row r="175" spans="8:18">
      <c r="H175" s="2"/>
      <c r="R175" s="389" t="e">
        <f>MAX(0,'2023.06 to 2024.05 LC'!$F181-$Q$6)</f>
        <v>#VALUE!</v>
      </c>
    </row>
    <row r="176" spans="8:18">
      <c r="H176" s="2"/>
      <c r="Q176" s="102"/>
      <c r="R176" s="389" t="e">
        <f>MAX(0,'2023.06 to 2024.05 LC'!$F182-$Q$6)</f>
        <v>#VALUE!</v>
      </c>
    </row>
    <row r="177" spans="8:18">
      <c r="H177" s="2"/>
      <c r="R177" s="389" t="e">
        <f>MAX(0,'2023.06 to 2024.05 LC'!$F183-$Q$6)</f>
        <v>#VALUE!</v>
      </c>
    </row>
    <row r="178" spans="8:18">
      <c r="H178" s="2"/>
      <c r="R178" s="389" t="e">
        <f>MAX(0,'2023.06 to 2024.05 LC'!$F184-$Q$6)</f>
        <v>#VALUE!</v>
      </c>
    </row>
    <row r="179" spans="8:18">
      <c r="H179" s="2"/>
      <c r="Q179" s="102"/>
      <c r="R179" s="389" t="e">
        <f>MAX(0,'2023.06 to 2024.05 LC'!$F185-$Q$6)</f>
        <v>#VALUE!</v>
      </c>
    </row>
    <row r="180" spans="8:18">
      <c r="H180" s="2"/>
      <c r="R180" s="389" t="e">
        <f>MAX(0,'2023.06 to 2024.05 LC'!$F186-$Q$6)</f>
        <v>#VALUE!</v>
      </c>
    </row>
    <row r="181" spans="8:18">
      <c r="H181" s="2"/>
      <c r="R181" s="389" t="e">
        <f>MAX(0,'2023.06 to 2024.05 LC'!$F187-$Q$6)</f>
        <v>#VALUE!</v>
      </c>
    </row>
    <row r="182" spans="8:18">
      <c r="H182" s="2"/>
      <c r="Q182" s="102"/>
      <c r="R182" s="389" t="e">
        <f>MAX(0,'2023.06 to 2024.05 LC'!$F188-$Q$6)</f>
        <v>#VALUE!</v>
      </c>
    </row>
    <row r="183" spans="8:18">
      <c r="H183" s="2"/>
      <c r="R183" s="389" t="e">
        <f>MAX(0,'2023.06 to 2024.05 LC'!$F189-$Q$6)</f>
        <v>#VALUE!</v>
      </c>
    </row>
    <row r="184" spans="8:18">
      <c r="H184" s="2"/>
      <c r="R184" s="389" t="e">
        <f>MAX(0,'2023.06 to 2024.05 LC'!$F190-$Q$6)</f>
        <v>#VALUE!</v>
      </c>
    </row>
    <row r="185" spans="8:18">
      <c r="H185" s="2"/>
      <c r="Q185" s="102"/>
      <c r="R185" s="389" t="e">
        <f>MAX(0,'2023.06 to 2024.05 LC'!$F191-$Q$6)</f>
        <v>#VALUE!</v>
      </c>
    </row>
    <row r="186" spans="8:18">
      <c r="H186" s="2"/>
      <c r="R186" s="389" t="e">
        <f>MAX(0,'2023.06 to 2024.05 LC'!$F192-$Q$6)</f>
        <v>#VALUE!</v>
      </c>
    </row>
    <row r="187" spans="8:18">
      <c r="H187" s="2"/>
      <c r="R187" s="389" t="e">
        <f>MAX(0,'2023.06 to 2024.05 LC'!$F193-$Q$6)</f>
        <v>#VALUE!</v>
      </c>
    </row>
    <row r="188" spans="8:18">
      <c r="H188" s="2"/>
      <c r="Q188" s="102"/>
      <c r="R188" s="389" t="e">
        <f>MAX(0,'2023.06 to 2024.05 LC'!$F194-$Q$6)</f>
        <v>#VALUE!</v>
      </c>
    </row>
    <row r="189" spans="8:18">
      <c r="H189" s="2"/>
      <c r="R189" s="389" t="e">
        <f>MAX(0,'2023.06 to 2024.05 LC'!$F195-$Q$6)</f>
        <v>#VALUE!</v>
      </c>
    </row>
    <row r="190" spans="8:18">
      <c r="H190" s="2"/>
      <c r="R190" s="389" t="e">
        <f>MAX(0,'2023.06 to 2024.05 LC'!$F196-$Q$6)</f>
        <v>#VALUE!</v>
      </c>
    </row>
    <row r="191" spans="8:18">
      <c r="H191" s="2"/>
      <c r="Q191" s="102"/>
      <c r="R191" s="389" t="e">
        <f>MAX(0,'2023.06 to 2024.05 LC'!$F197-$Q$6)</f>
        <v>#VALUE!</v>
      </c>
    </row>
    <row r="192" spans="8:18">
      <c r="H192" s="2"/>
      <c r="R192" s="389" t="e">
        <f>MAX(0,'2023.06 to 2024.05 LC'!$F198-$Q$6)</f>
        <v>#VALUE!</v>
      </c>
    </row>
    <row r="193" spans="8:18">
      <c r="H193" s="2"/>
      <c r="R193" s="389" t="e">
        <f>MAX(0,'2023.06 to 2024.05 LC'!$F199-$Q$6)</f>
        <v>#VALUE!</v>
      </c>
    </row>
    <row r="194" spans="8:18">
      <c r="H194" s="2"/>
      <c r="Q194" s="102"/>
      <c r="R194" s="389" t="e">
        <f>MAX(0,'2023.06 to 2024.05 LC'!$F200-$Q$6)</f>
        <v>#VALUE!</v>
      </c>
    </row>
    <row r="195" spans="8:18">
      <c r="H195" s="2"/>
      <c r="R195" s="389" t="e">
        <f>MAX(0,'2023.06 to 2024.05 LC'!$F201-$Q$6)</f>
        <v>#VALUE!</v>
      </c>
    </row>
    <row r="196" spans="8:18">
      <c r="H196" s="2"/>
      <c r="R196" s="389" t="e">
        <f>MAX(0,'2023.06 to 2024.05 LC'!$F202-$Q$6)</f>
        <v>#VALUE!</v>
      </c>
    </row>
    <row r="197" spans="8:18">
      <c r="H197" s="2"/>
      <c r="Q197" s="102"/>
      <c r="R197" s="389" t="e">
        <f>MAX(0,'2023.06 to 2024.05 LC'!$F203-$Q$6)</f>
        <v>#VALUE!</v>
      </c>
    </row>
    <row r="198" spans="8:18">
      <c r="H198" s="2"/>
      <c r="R198" s="389" t="e">
        <f>MAX(0,'2023.06 to 2024.05 LC'!$F204-$Q$6)</f>
        <v>#VALUE!</v>
      </c>
    </row>
    <row r="199" spans="8:18">
      <c r="H199" s="2"/>
      <c r="R199" s="389" t="e">
        <f>MAX(0,'2023.06 to 2024.05 LC'!$F205-$Q$6)</f>
        <v>#VALUE!</v>
      </c>
    </row>
    <row r="200" spans="8:18">
      <c r="H200" s="2"/>
      <c r="Q200" s="102"/>
      <c r="R200" s="389" t="e">
        <f>MAX(0,'2023.06 to 2024.05 LC'!$F206-$Q$6)</f>
        <v>#VALUE!</v>
      </c>
    </row>
    <row r="201" spans="8:18">
      <c r="H201" s="2"/>
      <c r="R201" s="389" t="e">
        <f>MAX(0,'2023.06 to 2024.05 LC'!$F207-$Q$6)</f>
        <v>#VALUE!</v>
      </c>
    </row>
    <row r="202" spans="8:18">
      <c r="H202" s="2"/>
      <c r="R202" s="389">
        <f>MAX(0,'2023.06 to 2024.05 LC'!$F208-$Q$6)</f>
        <v>0</v>
      </c>
    </row>
    <row r="203" spans="8:18">
      <c r="H203" s="2"/>
      <c r="Q203" s="102"/>
      <c r="R203" s="389">
        <f>MAX(0,'2023.06 to 2024.05 LC'!$F209-$Q$6)</f>
        <v>0</v>
      </c>
    </row>
    <row r="204" spans="8:18">
      <c r="H204" s="2"/>
      <c r="R204" s="389">
        <f>MAX(0,'2023.06 to 2024.05 LC'!$F210-$Q$6)</f>
        <v>0</v>
      </c>
    </row>
    <row r="205" spans="8:18">
      <c r="H205" s="2"/>
      <c r="R205" s="389">
        <f>MAX(0,'2023.06 to 2024.05 LC'!$F211-$Q$6)</f>
        <v>0</v>
      </c>
    </row>
    <row r="206" spans="8:18">
      <c r="H206" s="2"/>
      <c r="Q206" s="102"/>
      <c r="R206" s="389">
        <f>MAX(0,'2023.06 to 2024.05 LC'!$F212-$Q$6)</f>
        <v>0</v>
      </c>
    </row>
    <row r="207" spans="8:18">
      <c r="H207" s="2"/>
      <c r="R207" s="389">
        <f>MAX(0,'2023.06 to 2024.05 LC'!$F213-$Q$6)</f>
        <v>0</v>
      </c>
    </row>
    <row r="208" spans="8:18">
      <c r="H208" s="2"/>
      <c r="R208" s="389">
        <f>MAX(0,'2023.06 to 2024.05 LC'!$F214-$Q$6)</f>
        <v>0</v>
      </c>
    </row>
    <row r="209" spans="8:18">
      <c r="H209" s="2"/>
      <c r="Q209" s="102"/>
      <c r="R209" s="389">
        <f>MAX(0,'2023.06 to 2024.05 LC'!$F215-$Q$6)</f>
        <v>0</v>
      </c>
    </row>
    <row r="210" spans="8:18">
      <c r="H210" s="2"/>
      <c r="R210" s="389">
        <f>MAX(0,'2023.06 to 2024.05 LC'!$F216-$Q$6)</f>
        <v>0</v>
      </c>
    </row>
    <row r="211" spans="8:18">
      <c r="H211" s="2"/>
      <c r="R211" s="389">
        <f>MAX(0,'2023.06 to 2024.05 LC'!$F217-$Q$6)</f>
        <v>0</v>
      </c>
    </row>
    <row r="212" spans="8:18">
      <c r="H212" s="2"/>
      <c r="Q212" s="102"/>
      <c r="R212" s="389">
        <f>MAX(0,'2023.06 to 2024.05 LC'!$F218-$Q$6)</f>
        <v>0</v>
      </c>
    </row>
    <row r="213" spans="8:18">
      <c r="H213" s="2"/>
      <c r="R213" s="389">
        <f>MAX(0,'2023.06 to 2024.05 LC'!$F219-$Q$6)</f>
        <v>0</v>
      </c>
    </row>
    <row r="214" spans="8:18">
      <c r="H214" s="2"/>
      <c r="R214" s="389">
        <f>MAX(0,'2023.06 to 2024.05 LC'!$F220-$Q$6)</f>
        <v>0</v>
      </c>
    </row>
    <row r="215" spans="8:18">
      <c r="H215" s="2"/>
      <c r="Q215" s="102"/>
      <c r="R215" s="389">
        <f>MAX(0,'2023.06 to 2024.05 LC'!$F221-$Q$6)</f>
        <v>0</v>
      </c>
    </row>
    <row r="216" spans="8:18">
      <c r="H216" s="2"/>
      <c r="R216" s="389">
        <f>MAX(0,'2023.06 to 2024.05 LC'!$F222-$Q$6)</f>
        <v>0</v>
      </c>
    </row>
    <row r="217" spans="8:18">
      <c r="H217" s="2"/>
      <c r="R217" s="389">
        <f>MAX(0,'2023.06 to 2024.05 LC'!$F223-$Q$6)</f>
        <v>0</v>
      </c>
    </row>
    <row r="218" spans="8:18">
      <c r="H218" s="2"/>
      <c r="Q218" s="102"/>
      <c r="R218" s="389">
        <f>MAX(0,'2023.06 to 2024.05 LC'!$F224-$Q$6)</f>
        <v>0</v>
      </c>
    </row>
    <row r="219" spans="8:18">
      <c r="H219" s="2"/>
      <c r="R219" s="389">
        <f>MAX(0,'2023.06 to 2024.05 LC'!$F225-$Q$6)</f>
        <v>0</v>
      </c>
    </row>
    <row r="220" spans="8:18">
      <c r="H220" s="2"/>
      <c r="R220" s="389">
        <f>MAX(0,'2023.06 to 2024.05 LC'!$F226-$Q$6)</f>
        <v>0</v>
      </c>
    </row>
    <row r="221" spans="8:18">
      <c r="H221" s="2"/>
      <c r="Q221" s="102"/>
      <c r="R221" s="389">
        <f>MAX(0,'2023.06 to 2024.05 LC'!$F227-$Q$6)</f>
        <v>0</v>
      </c>
    </row>
    <row r="222" spans="8:18">
      <c r="H222" s="2"/>
      <c r="R222" s="389">
        <f>MAX(0,'2023.06 to 2024.05 LC'!$F228-$Q$6)</f>
        <v>0</v>
      </c>
    </row>
    <row r="223" spans="8:18">
      <c r="H223" s="2"/>
      <c r="R223" s="389">
        <f>MAX(0,'2023.06 to 2024.05 LC'!$F229-$Q$6)</f>
        <v>0</v>
      </c>
    </row>
    <row r="224" spans="8:18">
      <c r="H224" s="2"/>
      <c r="Q224" s="102"/>
      <c r="R224" s="389">
        <f>MAX(0,'2023.06 to 2024.05 LC'!$F230-$Q$6)</f>
        <v>0</v>
      </c>
    </row>
    <row r="225" spans="8:18" ht="15.75" thickBot="1">
      <c r="H225" s="2"/>
      <c r="R225" s="390">
        <f>MAX(0,'2023.06 to 2024.05 LC'!$F231-$Q$6)</f>
        <v>0</v>
      </c>
    </row>
    <row r="226" spans="8:18">
      <c r="H226" s="2"/>
      <c r="Q226" s="55" t="s">
        <v>60</v>
      </c>
      <c r="R226" s="64" t="e">
        <f>(SUM($R$6:$R$225)-$Q$7)</f>
        <v>#VALUE!</v>
      </c>
    </row>
    <row r="227" spans="8:18">
      <c r="H227" s="2"/>
      <c r="Q227" s="55" t="s">
        <v>61</v>
      </c>
      <c r="R227" s="55">
        <f>COUNTIF($R$6:$R$225,"&gt;0")</f>
        <v>0</v>
      </c>
    </row>
    <row r="228" spans="8:18">
      <c r="H228" s="2"/>
    </row>
    <row r="229" spans="8:18">
      <c r="H229" s="2"/>
    </row>
    <row r="230" spans="8:18">
      <c r="H230" s="2"/>
    </row>
    <row r="231" spans="8:18">
      <c r="H231" s="2"/>
    </row>
    <row r="232" spans="8:18">
      <c r="H232" s="2"/>
    </row>
    <row r="233" spans="8:18">
      <c r="H233" s="2"/>
    </row>
    <row r="234" spans="8:18">
      <c r="H234" s="2"/>
    </row>
    <row r="235" spans="8:18">
      <c r="H235" s="2"/>
    </row>
    <row r="236" spans="8:18">
      <c r="H236" s="2"/>
    </row>
    <row r="237" spans="8:18">
      <c r="H237" s="2"/>
    </row>
    <row r="238" spans="8:18">
      <c r="H238" s="2"/>
    </row>
    <row r="239" spans="8:18">
      <c r="H239" s="2"/>
    </row>
    <row r="240" spans="8:18">
      <c r="H240" s="2"/>
    </row>
    <row r="241" spans="8:8">
      <c r="H241" s="2"/>
    </row>
    <row r="242" spans="8:8">
      <c r="H242" s="2"/>
    </row>
    <row r="243" spans="8:8">
      <c r="H243" s="2"/>
    </row>
    <row r="244" spans="8:8">
      <c r="H244" s="2"/>
    </row>
    <row r="245" spans="8:8">
      <c r="H245" s="2"/>
    </row>
    <row r="246" spans="8:8">
      <c r="H246" s="2"/>
    </row>
    <row r="247" spans="8:8">
      <c r="H247" s="2"/>
    </row>
    <row r="248" spans="8:8">
      <c r="H248" s="2"/>
    </row>
    <row r="249" spans="8:8">
      <c r="H249" s="2"/>
    </row>
    <row r="250" spans="8:8">
      <c r="H250" s="2"/>
    </row>
    <row r="251" spans="8:8">
      <c r="H251" s="2"/>
    </row>
    <row r="252" spans="8:8">
      <c r="H252" s="2"/>
    </row>
    <row r="253" spans="8:8">
      <c r="H253" s="2"/>
    </row>
    <row r="254" spans="8:8">
      <c r="H254" s="2"/>
    </row>
    <row r="255" spans="8:8">
      <c r="H255" s="2"/>
    </row>
    <row r="256" spans="8:8">
      <c r="H256" s="2"/>
    </row>
    <row r="257" spans="8:8">
      <c r="H257" s="2"/>
    </row>
    <row r="258" spans="8:8">
      <c r="H258" s="2"/>
    </row>
    <row r="259" spans="8:8">
      <c r="H259" s="2"/>
    </row>
    <row r="260" spans="8:8">
      <c r="H260" s="2"/>
    </row>
    <row r="261" spans="8:8">
      <c r="H261" s="2"/>
    </row>
    <row r="262" spans="8:8">
      <c r="H262" s="2"/>
    </row>
    <row r="263" spans="8:8">
      <c r="H263" s="2"/>
    </row>
    <row r="264" spans="8:8">
      <c r="H264" s="2"/>
    </row>
    <row r="265" spans="8:8">
      <c r="H265" s="2"/>
    </row>
    <row r="266" spans="8:8">
      <c r="H266" s="2"/>
    </row>
    <row r="267" spans="8:8">
      <c r="H267" s="2"/>
    </row>
    <row r="268" spans="8:8">
      <c r="H268" s="2"/>
    </row>
    <row r="269" spans="8:8">
      <c r="H269" s="2"/>
    </row>
    <row r="270" spans="8:8">
      <c r="H270" s="2"/>
    </row>
    <row r="271" spans="8:8">
      <c r="H271" s="2"/>
    </row>
    <row r="272" spans="8:8">
      <c r="H272" s="2"/>
    </row>
    <row r="273" spans="8:8">
      <c r="H273" s="2"/>
    </row>
    <row r="274" spans="8:8">
      <c r="H274" s="2"/>
    </row>
    <row r="275" spans="8:8">
      <c r="H275" s="2"/>
    </row>
    <row r="276" spans="8:8">
      <c r="H276" s="2"/>
    </row>
    <row r="277" spans="8:8">
      <c r="H277" s="2"/>
    </row>
    <row r="278" spans="8:8">
      <c r="H278" s="2"/>
    </row>
    <row r="279" spans="8:8">
      <c r="H279" s="2"/>
    </row>
    <row r="280" spans="8:8">
      <c r="H280" s="2"/>
    </row>
    <row r="281" spans="8:8">
      <c r="H281" s="2"/>
    </row>
    <row r="282" spans="8:8">
      <c r="H282" s="2"/>
    </row>
    <row r="283" spans="8:8">
      <c r="H283" s="2"/>
    </row>
    <row r="284" spans="8:8">
      <c r="H284" s="2"/>
    </row>
    <row r="285" spans="8:8">
      <c r="H285" s="2"/>
    </row>
    <row r="286" spans="8:8">
      <c r="H286" s="2"/>
    </row>
    <row r="287" spans="8:8">
      <c r="H287" s="2"/>
    </row>
    <row r="288" spans="8:8">
      <c r="H288" s="2"/>
    </row>
    <row r="289" spans="8:8">
      <c r="H289" s="2"/>
    </row>
    <row r="290" spans="8:8">
      <c r="H290" s="2"/>
    </row>
    <row r="291" spans="8:8">
      <c r="H291" s="2"/>
    </row>
    <row r="292" spans="8:8">
      <c r="H292" s="2"/>
    </row>
    <row r="293" spans="8:8">
      <c r="H293" s="2"/>
    </row>
    <row r="294" spans="8:8">
      <c r="H294" s="2"/>
    </row>
    <row r="295" spans="8:8">
      <c r="H295" s="2"/>
    </row>
    <row r="296" spans="8:8">
      <c r="H296" s="2"/>
    </row>
    <row r="297" spans="8:8">
      <c r="H297" s="2"/>
    </row>
    <row r="298" spans="8:8">
      <c r="H298" s="2"/>
    </row>
    <row r="299" spans="8:8">
      <c r="H299" s="2"/>
    </row>
    <row r="300" spans="8:8">
      <c r="H300" s="2"/>
    </row>
    <row r="301" spans="8:8">
      <c r="H301" s="2"/>
    </row>
    <row r="302" spans="8:8">
      <c r="H302" s="2"/>
    </row>
    <row r="303" spans="8:8">
      <c r="H303" s="2"/>
    </row>
    <row r="304" spans="8:8">
      <c r="H304" s="2"/>
    </row>
    <row r="305" spans="8:8">
      <c r="H305" s="2"/>
    </row>
    <row r="306" spans="8:8">
      <c r="H306" s="2"/>
    </row>
    <row r="307" spans="8:8">
      <c r="H307" s="2"/>
    </row>
    <row r="308" spans="8:8">
      <c r="H308" s="2"/>
    </row>
    <row r="309" spans="8:8">
      <c r="H309" s="2"/>
    </row>
    <row r="310" spans="8:8">
      <c r="H310" s="2"/>
    </row>
    <row r="311" spans="8:8">
      <c r="H311" s="2"/>
    </row>
    <row r="312" spans="8:8">
      <c r="H312" s="2"/>
    </row>
    <row r="313" spans="8:8">
      <c r="H313" s="2"/>
    </row>
    <row r="314" spans="8:8">
      <c r="H314" s="2"/>
    </row>
    <row r="315" spans="8:8">
      <c r="H315" s="2"/>
    </row>
    <row r="316" spans="8:8">
      <c r="H316" s="2"/>
    </row>
    <row r="317" spans="8:8">
      <c r="H317" s="2"/>
    </row>
    <row r="318" spans="8:8">
      <c r="H318" s="2"/>
    </row>
    <row r="319" spans="8:8">
      <c r="H319" s="2"/>
    </row>
    <row r="320" spans="8:8">
      <c r="H320" s="2"/>
    </row>
    <row r="321" spans="8:8">
      <c r="H321" s="2"/>
    </row>
    <row r="322" spans="8:8">
      <c r="H322" s="2"/>
    </row>
    <row r="323" spans="8:8">
      <c r="H323" s="2"/>
    </row>
    <row r="324" spans="8:8">
      <c r="H324" s="2"/>
    </row>
    <row r="325" spans="8:8">
      <c r="H325" s="2"/>
    </row>
    <row r="326" spans="8:8">
      <c r="H326" s="2"/>
    </row>
    <row r="327" spans="8:8">
      <c r="H327" s="2"/>
    </row>
    <row r="328" spans="8:8">
      <c r="H328" s="2"/>
    </row>
    <row r="329" spans="8:8">
      <c r="H329" s="2"/>
    </row>
    <row r="330" spans="8:8">
      <c r="H330" s="2"/>
    </row>
    <row r="331" spans="8:8">
      <c r="H331" s="2"/>
    </row>
    <row r="332" spans="8:8">
      <c r="H332" s="2"/>
    </row>
    <row r="333" spans="8:8">
      <c r="H333" s="2"/>
    </row>
    <row r="334" spans="8:8">
      <c r="H334" s="2"/>
    </row>
    <row r="335" spans="8:8">
      <c r="H335" s="2"/>
    </row>
    <row r="336" spans="8:8">
      <c r="H336" s="2"/>
    </row>
    <row r="337" spans="8:8">
      <c r="H337" s="2"/>
    </row>
    <row r="338" spans="8:8">
      <c r="H338" s="2"/>
    </row>
    <row r="339" spans="8:8">
      <c r="H339" s="2"/>
    </row>
    <row r="340" spans="8:8">
      <c r="H340" s="2"/>
    </row>
    <row r="341" spans="8:8">
      <c r="H341" s="2"/>
    </row>
    <row r="342" spans="8:8">
      <c r="H342" s="2"/>
    </row>
    <row r="343" spans="8:8">
      <c r="H343" s="2"/>
    </row>
    <row r="344" spans="8:8">
      <c r="H344" s="2"/>
    </row>
    <row r="345" spans="8:8">
      <c r="H345" s="2"/>
    </row>
    <row r="346" spans="8:8">
      <c r="H346" s="2"/>
    </row>
    <row r="347" spans="8:8">
      <c r="H347" s="2"/>
    </row>
    <row r="348" spans="8:8">
      <c r="H348" s="2"/>
    </row>
    <row r="349" spans="8:8">
      <c r="H349" s="2"/>
    </row>
    <row r="350" spans="8:8">
      <c r="H350" s="2"/>
    </row>
    <row r="351" spans="8:8">
      <c r="H351" s="2"/>
    </row>
    <row r="352" spans="8:8">
      <c r="H352" s="2"/>
    </row>
    <row r="353" spans="8:8">
      <c r="H353" s="2"/>
    </row>
    <row r="354" spans="8:8">
      <c r="H354" s="2"/>
    </row>
    <row r="355" spans="8:8">
      <c r="H355" s="2"/>
    </row>
    <row r="356" spans="8:8">
      <c r="H356" s="2"/>
    </row>
    <row r="357" spans="8:8">
      <c r="H357" s="2"/>
    </row>
    <row r="358" spans="8:8">
      <c r="H358" s="2"/>
    </row>
    <row r="359" spans="8:8">
      <c r="H359" s="2"/>
    </row>
    <row r="360" spans="8:8">
      <c r="H360" s="2"/>
    </row>
    <row r="361" spans="8:8">
      <c r="H361" s="2"/>
    </row>
    <row r="362" spans="8:8">
      <c r="H362" s="2"/>
    </row>
    <row r="363" spans="8:8">
      <c r="H363" s="2"/>
    </row>
    <row r="364" spans="8:8">
      <c r="H364" s="2"/>
    </row>
    <row r="365" spans="8:8">
      <c r="H365" s="2"/>
    </row>
    <row r="366" spans="8:8">
      <c r="H366" s="2"/>
    </row>
    <row r="367" spans="8:8">
      <c r="H367" s="2"/>
    </row>
    <row r="368" spans="8:8">
      <c r="H368" s="2"/>
    </row>
    <row r="369" spans="8:8">
      <c r="H369" s="2"/>
    </row>
    <row r="370" spans="8:8">
      <c r="H370" s="2"/>
    </row>
    <row r="371" spans="8:8">
      <c r="H371" s="2"/>
    </row>
    <row r="372" spans="8:8">
      <c r="H372" s="2"/>
    </row>
    <row r="373" spans="8:8">
      <c r="H373" s="2"/>
    </row>
    <row r="374" spans="8:8">
      <c r="H374" s="2"/>
    </row>
    <row r="375" spans="8:8">
      <c r="H375" s="2"/>
    </row>
    <row r="376" spans="8:8">
      <c r="H376" s="2"/>
    </row>
    <row r="377" spans="8:8">
      <c r="H377" s="2"/>
    </row>
    <row r="378" spans="8:8">
      <c r="H378" s="2"/>
    </row>
    <row r="379" spans="8:8">
      <c r="H379" s="2"/>
    </row>
    <row r="380" spans="8:8">
      <c r="H380" s="2"/>
    </row>
    <row r="381" spans="8:8">
      <c r="H381" s="2"/>
    </row>
    <row r="382" spans="8:8">
      <c r="H382" s="2"/>
    </row>
    <row r="383" spans="8:8">
      <c r="H383" s="2"/>
    </row>
    <row r="384" spans="8:8">
      <c r="H384" s="2"/>
    </row>
    <row r="385" spans="8:8">
      <c r="H385" s="2"/>
    </row>
    <row r="386" spans="8:8">
      <c r="H386" s="2"/>
    </row>
    <row r="387" spans="8:8">
      <c r="H387" s="2"/>
    </row>
    <row r="388" spans="8:8">
      <c r="H388" s="2"/>
    </row>
    <row r="389" spans="8:8">
      <c r="H389" s="2"/>
    </row>
    <row r="390" spans="8:8">
      <c r="H390" s="2"/>
    </row>
    <row r="391" spans="8:8">
      <c r="H391" s="2"/>
    </row>
    <row r="392" spans="8:8">
      <c r="H392" s="2"/>
    </row>
    <row r="393" spans="8:8">
      <c r="H393" s="2"/>
    </row>
    <row r="394" spans="8:8">
      <c r="H394" s="2"/>
    </row>
    <row r="395" spans="8:8">
      <c r="H395" s="2"/>
    </row>
    <row r="396" spans="8:8">
      <c r="H396" s="2"/>
    </row>
    <row r="397" spans="8:8">
      <c r="H397" s="2"/>
    </row>
    <row r="398" spans="8:8">
      <c r="H398" s="2"/>
    </row>
    <row r="399" spans="8:8">
      <c r="H399" s="2"/>
    </row>
    <row r="400" spans="8:8">
      <c r="H400" s="2"/>
    </row>
    <row r="401" spans="8:8">
      <c r="H401" s="2"/>
    </row>
    <row r="402" spans="8:8">
      <c r="H402" s="2"/>
    </row>
    <row r="403" spans="8:8">
      <c r="H403" s="2"/>
    </row>
    <row r="404" spans="8:8">
      <c r="H404" s="2"/>
    </row>
    <row r="405" spans="8:8">
      <c r="H405" s="2"/>
    </row>
    <row r="406" spans="8:8">
      <c r="H406" s="2"/>
    </row>
    <row r="407" spans="8:8">
      <c r="H407" s="2"/>
    </row>
    <row r="408" spans="8:8">
      <c r="H408" s="2"/>
    </row>
    <row r="409" spans="8:8">
      <c r="H409" s="2"/>
    </row>
    <row r="410" spans="8:8">
      <c r="H410" s="2"/>
    </row>
    <row r="411" spans="8:8">
      <c r="H411" s="2"/>
    </row>
    <row r="412" spans="8:8">
      <c r="H412" s="2"/>
    </row>
    <row r="413" spans="8:8">
      <c r="H413" s="2"/>
    </row>
    <row r="414" spans="8:8">
      <c r="H414" s="2"/>
    </row>
    <row r="415" spans="8:8">
      <c r="H415" s="2"/>
    </row>
    <row r="416" spans="8:8">
      <c r="H416" s="2"/>
    </row>
    <row r="417" spans="8:8">
      <c r="H417" s="2"/>
    </row>
    <row r="418" spans="8:8">
      <c r="H418" s="2"/>
    </row>
    <row r="419" spans="8:8">
      <c r="H419" s="2"/>
    </row>
    <row r="420" spans="8:8">
      <c r="H420" s="2"/>
    </row>
    <row r="421" spans="8:8">
      <c r="H421" s="2"/>
    </row>
    <row r="422" spans="8:8">
      <c r="H422" s="2"/>
    </row>
    <row r="423" spans="8:8">
      <c r="H423" s="2"/>
    </row>
    <row r="424" spans="8:8">
      <c r="H424" s="2"/>
    </row>
    <row r="425" spans="8:8">
      <c r="H425" s="2"/>
    </row>
    <row r="426" spans="8:8">
      <c r="H426" s="2"/>
    </row>
    <row r="427" spans="8:8">
      <c r="H427" s="2"/>
    </row>
    <row r="428" spans="8:8">
      <c r="H428" s="2"/>
    </row>
    <row r="429" spans="8:8">
      <c r="H429" s="2"/>
    </row>
    <row r="430" spans="8:8">
      <c r="H430" s="2"/>
    </row>
    <row r="431" spans="8:8">
      <c r="H431" s="2"/>
    </row>
    <row r="432" spans="8:8">
      <c r="H432" s="2"/>
    </row>
    <row r="433" spans="8:8">
      <c r="H433" s="2"/>
    </row>
    <row r="434" spans="8:8">
      <c r="H434" s="2"/>
    </row>
    <row r="435" spans="8:8">
      <c r="H435" s="2"/>
    </row>
    <row r="436" spans="8:8">
      <c r="H436" s="2"/>
    </row>
    <row r="437" spans="8:8">
      <c r="H437" s="2"/>
    </row>
    <row r="438" spans="8:8">
      <c r="H438" s="2"/>
    </row>
    <row r="439" spans="8:8">
      <c r="H439" s="2"/>
    </row>
    <row r="440" spans="8:8">
      <c r="H440" s="2"/>
    </row>
    <row r="441" spans="8:8">
      <c r="H441" s="2"/>
    </row>
    <row r="442" spans="8:8">
      <c r="H442" s="2"/>
    </row>
    <row r="443" spans="8:8">
      <c r="H443" s="2"/>
    </row>
    <row r="444" spans="8:8">
      <c r="H444" s="2"/>
    </row>
    <row r="445" spans="8:8">
      <c r="H445" s="2"/>
    </row>
    <row r="446" spans="8:8">
      <c r="H446" s="2"/>
    </row>
    <row r="447" spans="8:8">
      <c r="H447" s="2"/>
    </row>
    <row r="448" spans="8:8">
      <c r="H448" s="2"/>
    </row>
    <row r="449" spans="8:8">
      <c r="H449" s="2"/>
    </row>
    <row r="450" spans="8:8">
      <c r="H450" s="2"/>
    </row>
    <row r="451" spans="8:8">
      <c r="H451" s="2"/>
    </row>
    <row r="452" spans="8:8">
      <c r="H452" s="2"/>
    </row>
    <row r="453" spans="8:8">
      <c r="H453" s="2"/>
    </row>
    <row r="454" spans="8:8">
      <c r="H454" s="2"/>
    </row>
    <row r="455" spans="8:8">
      <c r="H455" s="2"/>
    </row>
    <row r="456" spans="8:8">
      <c r="H456" s="2"/>
    </row>
    <row r="457" spans="8:8">
      <c r="H457" s="2"/>
    </row>
    <row r="458" spans="8:8">
      <c r="H458" s="2"/>
    </row>
    <row r="459" spans="8:8">
      <c r="H459" s="2"/>
    </row>
    <row r="460" spans="8:8">
      <c r="H460" s="2"/>
    </row>
    <row r="461" spans="8:8">
      <c r="H461" s="2"/>
    </row>
    <row r="462" spans="8:8">
      <c r="H462" s="2"/>
    </row>
    <row r="463" spans="8:8">
      <c r="H463" s="2"/>
    </row>
    <row r="464" spans="8:8">
      <c r="H464" s="2"/>
    </row>
    <row r="465" spans="8:8">
      <c r="H465" s="2"/>
    </row>
    <row r="466" spans="8:8">
      <c r="H466" s="2"/>
    </row>
    <row r="467" spans="8:8">
      <c r="H467" s="2"/>
    </row>
    <row r="468" spans="8:8">
      <c r="H468" s="2"/>
    </row>
    <row r="469" spans="8:8">
      <c r="H469" s="2"/>
    </row>
    <row r="470" spans="8:8">
      <c r="H470" s="2"/>
    </row>
    <row r="471" spans="8:8">
      <c r="H471" s="2"/>
    </row>
    <row r="472" spans="8:8">
      <c r="H472" s="2"/>
    </row>
    <row r="473" spans="8:8">
      <c r="H473" s="2"/>
    </row>
    <row r="474" spans="8:8">
      <c r="H474" s="2"/>
    </row>
    <row r="475" spans="8:8">
      <c r="H475" s="2"/>
    </row>
    <row r="476" spans="8:8">
      <c r="H476" s="2"/>
    </row>
    <row r="477" spans="8:8">
      <c r="H477" s="2"/>
    </row>
    <row r="478" spans="8:8">
      <c r="H478" s="2"/>
    </row>
    <row r="479" spans="8:8">
      <c r="H479" s="2"/>
    </row>
    <row r="480" spans="8:8">
      <c r="H480" s="2"/>
    </row>
    <row r="481" spans="8:8">
      <c r="H481" s="2"/>
    </row>
    <row r="482" spans="8:8">
      <c r="H482" s="2"/>
    </row>
    <row r="483" spans="8:8">
      <c r="H483" s="2"/>
    </row>
    <row r="484" spans="8:8">
      <c r="H484" s="2"/>
    </row>
    <row r="485" spans="8:8">
      <c r="H485" s="2"/>
    </row>
    <row r="486" spans="8:8">
      <c r="H486" s="2"/>
    </row>
    <row r="487" spans="8:8">
      <c r="H487" s="2"/>
    </row>
    <row r="488" spans="8:8">
      <c r="H488" s="2"/>
    </row>
    <row r="489" spans="8:8">
      <c r="H489" s="2"/>
    </row>
    <row r="490" spans="8:8">
      <c r="H490" s="2"/>
    </row>
    <row r="491" spans="8:8">
      <c r="H491" s="2"/>
    </row>
    <row r="492" spans="8:8">
      <c r="H492" s="2"/>
    </row>
    <row r="493" spans="8:8">
      <c r="H493" s="2"/>
    </row>
    <row r="494" spans="8:8">
      <c r="H494" s="2"/>
    </row>
    <row r="495" spans="8:8">
      <c r="H495" s="2"/>
    </row>
    <row r="496" spans="8:8">
      <c r="H496" s="2"/>
    </row>
    <row r="497" spans="8:8">
      <c r="H497" s="2"/>
    </row>
    <row r="498" spans="8:8">
      <c r="H498" s="2"/>
    </row>
    <row r="499" spans="8:8">
      <c r="H499" s="2"/>
    </row>
    <row r="500" spans="8:8">
      <c r="H500" s="2"/>
    </row>
    <row r="501" spans="8:8">
      <c r="H501" s="2"/>
    </row>
    <row r="502" spans="8:8">
      <c r="H502" s="2"/>
    </row>
    <row r="503" spans="8:8">
      <c r="H503" s="2"/>
    </row>
    <row r="504" spans="8:8">
      <c r="H504" s="2"/>
    </row>
    <row r="505" spans="8:8">
      <c r="H505" s="2"/>
    </row>
    <row r="506" spans="8:8">
      <c r="H506" s="2"/>
    </row>
    <row r="507" spans="8:8">
      <c r="H507" s="2"/>
    </row>
    <row r="508" spans="8:8">
      <c r="H508" s="2"/>
    </row>
    <row r="509" spans="8:8">
      <c r="H509" s="2"/>
    </row>
    <row r="510" spans="8:8">
      <c r="H510" s="2"/>
    </row>
    <row r="511" spans="8:8">
      <c r="H511" s="2"/>
    </row>
    <row r="512" spans="8:8">
      <c r="H512" s="2"/>
    </row>
    <row r="513" spans="8:8">
      <c r="H513" s="2"/>
    </row>
    <row r="514" spans="8:8">
      <c r="H514" s="2"/>
    </row>
    <row r="515" spans="8:8">
      <c r="H515" s="2"/>
    </row>
    <row r="516" spans="8:8">
      <c r="H516" s="2"/>
    </row>
    <row r="517" spans="8:8">
      <c r="H517" s="2"/>
    </row>
    <row r="518" spans="8:8">
      <c r="H518" s="2"/>
    </row>
    <row r="519" spans="8:8">
      <c r="H519" s="2"/>
    </row>
    <row r="520" spans="8:8">
      <c r="H520" s="2"/>
    </row>
    <row r="521" spans="8:8">
      <c r="H521" s="2"/>
    </row>
    <row r="522" spans="8:8">
      <c r="H522" s="2"/>
    </row>
    <row r="523" spans="8:8">
      <c r="H523" s="2"/>
    </row>
    <row r="524" spans="8:8">
      <c r="H524" s="2"/>
    </row>
    <row r="525" spans="8:8">
      <c r="H525" s="2"/>
    </row>
    <row r="526" spans="8:8">
      <c r="H526" s="2"/>
    </row>
    <row r="527" spans="8:8">
      <c r="H527" s="2"/>
    </row>
    <row r="528" spans="8:8">
      <c r="H528" s="2"/>
    </row>
    <row r="529" spans="8:8">
      <c r="H529" s="2"/>
    </row>
    <row r="530" spans="8:8">
      <c r="H530" s="2"/>
    </row>
    <row r="531" spans="8:8">
      <c r="H531" s="2"/>
    </row>
    <row r="532" spans="8:8">
      <c r="H532" s="2"/>
    </row>
    <row r="533" spans="8:8">
      <c r="H533" s="2"/>
    </row>
    <row r="534" spans="8:8">
      <c r="H534" s="2"/>
    </row>
    <row r="535" spans="8:8">
      <c r="H535" s="2"/>
    </row>
    <row r="536" spans="8:8">
      <c r="H536" s="2"/>
    </row>
    <row r="537" spans="8:8">
      <c r="H537" s="2"/>
    </row>
    <row r="538" spans="8:8">
      <c r="H538" s="2"/>
    </row>
    <row r="539" spans="8:8">
      <c r="H539" s="2"/>
    </row>
    <row r="540" spans="8:8">
      <c r="H540" s="2"/>
    </row>
    <row r="541" spans="8:8">
      <c r="H541" s="2"/>
    </row>
    <row r="542" spans="8:8">
      <c r="H542" s="2"/>
    </row>
    <row r="543" spans="8:8">
      <c r="H543" s="2"/>
    </row>
    <row r="544" spans="8:8">
      <c r="H544" s="2"/>
    </row>
    <row r="545" spans="8:8">
      <c r="H545" s="2"/>
    </row>
    <row r="546" spans="8:8">
      <c r="H546" s="2"/>
    </row>
    <row r="547" spans="8:8">
      <c r="H547" s="2"/>
    </row>
  </sheetData>
  <mergeCells count="3">
    <mergeCell ref="C2:E2"/>
    <mergeCell ref="C5:E5"/>
    <mergeCell ref="D15:E15"/>
  </mergeCells>
  <printOptions horizontalCentered="1"/>
  <pageMargins left="0.34" right="0.28999999999999998" top="0.38" bottom="0.43" header="0.25" footer="0"/>
  <pageSetup paperSize="17" scale="31" orientation="landscape" r:id="rId1"/>
  <headerFooter alignWithMargins="0">
    <oddFooter xml:space="preserve">&amp;L&amp;"Arial,Regular"           Davidson Benefits Planning - An Alera Group Company 
&amp;C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40530-9980-4F91-A0AE-C8E48F515876}">
  <dimension ref="A1:AJ349"/>
  <sheetViews>
    <sheetView showGridLines="0" zoomScale="70" zoomScaleNormal="70" zoomScaleSheetLayoutView="75" workbookViewId="0">
      <selection activeCell="E35" sqref="E35"/>
    </sheetView>
  </sheetViews>
  <sheetFormatPr defaultColWidth="10.33203125" defaultRowHeight="15"/>
  <cols>
    <col min="1" max="1" width="90.6640625" style="2" customWidth="1"/>
    <col min="2" max="5" width="34.77734375" style="55" customWidth="1"/>
    <col min="6" max="6" width="32.33203125" style="2" customWidth="1"/>
    <col min="7" max="12" width="12.21875" style="2" customWidth="1"/>
    <col min="13" max="13" width="9.109375" style="2" customWidth="1"/>
    <col min="14" max="14" width="5.109375" style="2" customWidth="1"/>
    <col min="15" max="15" width="115.88671875" style="2" customWidth="1"/>
    <col min="16" max="16" width="19.109375" style="2" customWidth="1"/>
    <col min="17" max="17" width="2.33203125" style="3" customWidth="1"/>
    <col min="18" max="18" width="19.109375" style="2" customWidth="1"/>
    <col min="19" max="19" width="2.33203125" style="2" customWidth="1"/>
    <col min="20" max="20" width="19.109375" style="2" customWidth="1"/>
    <col min="21" max="21" width="2.6640625" style="2" customWidth="1"/>
    <col min="22" max="22" width="19.88671875" style="2" customWidth="1"/>
    <col min="23" max="23" width="13.21875" style="2" customWidth="1"/>
    <col min="24" max="24" width="16.33203125" style="2" customWidth="1"/>
    <col min="25" max="25" width="12.77734375" style="2" customWidth="1"/>
    <col min="26" max="27" width="12.109375" style="2" customWidth="1"/>
    <col min="28" max="30" width="10.33203125" style="2" customWidth="1"/>
    <col min="31" max="31" width="10.88671875" style="2" customWidth="1"/>
    <col min="32" max="34" width="10.33203125" style="2" customWidth="1"/>
    <col min="35" max="35" width="24.6640625" style="2" customWidth="1"/>
    <col min="36" max="36" width="15.109375" style="2" customWidth="1"/>
    <col min="37" max="264" width="10.33203125" style="2"/>
    <col min="265" max="266" width="0" style="2" hidden="1" customWidth="1"/>
    <col min="267" max="267" width="7.6640625" style="2" customWidth="1"/>
    <col min="268" max="268" width="4.21875" style="2" customWidth="1"/>
    <col min="269" max="269" width="98" style="2" customWidth="1"/>
    <col min="270" max="270" width="16.109375" style="2" customWidth="1"/>
    <col min="271" max="271" width="2" style="2" customWidth="1"/>
    <col min="272" max="272" width="15.88671875" style="2" customWidth="1"/>
    <col min="273" max="273" width="2" style="2" customWidth="1"/>
    <col min="274" max="274" width="13.33203125" style="2" customWidth="1"/>
    <col min="275" max="275" width="2" style="2" customWidth="1"/>
    <col min="276" max="276" width="13.33203125" style="2" customWidth="1"/>
    <col min="277" max="277" width="2.33203125" style="2" customWidth="1"/>
    <col min="278" max="278" width="2.109375" style="2" customWidth="1"/>
    <col min="279" max="279" width="16.77734375" style="2" customWidth="1"/>
    <col min="280" max="280" width="13.77734375" style="2" customWidth="1"/>
    <col min="281" max="290" width="8.6640625" style="2" customWidth="1"/>
    <col min="291" max="291" width="20.77734375" style="2" customWidth="1"/>
    <col min="292" max="520" width="10.33203125" style="2"/>
    <col min="521" max="522" width="0" style="2" hidden="1" customWidth="1"/>
    <col min="523" max="523" width="7.6640625" style="2" customWidth="1"/>
    <col min="524" max="524" width="4.21875" style="2" customWidth="1"/>
    <col min="525" max="525" width="98" style="2" customWidth="1"/>
    <col min="526" max="526" width="16.109375" style="2" customWidth="1"/>
    <col min="527" max="527" width="2" style="2" customWidth="1"/>
    <col min="528" max="528" width="15.88671875" style="2" customWidth="1"/>
    <col min="529" max="529" width="2" style="2" customWidth="1"/>
    <col min="530" max="530" width="13.33203125" style="2" customWidth="1"/>
    <col min="531" max="531" width="2" style="2" customWidth="1"/>
    <col min="532" max="532" width="13.33203125" style="2" customWidth="1"/>
    <col min="533" max="533" width="2.33203125" style="2" customWidth="1"/>
    <col min="534" max="534" width="2.109375" style="2" customWidth="1"/>
    <col min="535" max="535" width="16.77734375" style="2" customWidth="1"/>
    <col min="536" max="536" width="13.77734375" style="2" customWidth="1"/>
    <col min="537" max="546" width="8.6640625" style="2" customWidth="1"/>
    <col min="547" max="547" width="20.77734375" style="2" customWidth="1"/>
    <col min="548" max="776" width="10.33203125" style="2"/>
    <col min="777" max="778" width="0" style="2" hidden="1" customWidth="1"/>
    <col min="779" max="779" width="7.6640625" style="2" customWidth="1"/>
    <col min="780" max="780" width="4.21875" style="2" customWidth="1"/>
    <col min="781" max="781" width="98" style="2" customWidth="1"/>
    <col min="782" max="782" width="16.109375" style="2" customWidth="1"/>
    <col min="783" max="783" width="2" style="2" customWidth="1"/>
    <col min="784" max="784" width="15.88671875" style="2" customWidth="1"/>
    <col min="785" max="785" width="2" style="2" customWidth="1"/>
    <col min="786" max="786" width="13.33203125" style="2" customWidth="1"/>
    <col min="787" max="787" width="2" style="2" customWidth="1"/>
    <col min="788" max="788" width="13.33203125" style="2" customWidth="1"/>
    <col min="789" max="789" width="2.33203125" style="2" customWidth="1"/>
    <col min="790" max="790" width="2.109375" style="2" customWidth="1"/>
    <col min="791" max="791" width="16.77734375" style="2" customWidth="1"/>
    <col min="792" max="792" width="13.77734375" style="2" customWidth="1"/>
    <col min="793" max="802" width="8.6640625" style="2" customWidth="1"/>
    <col min="803" max="803" width="20.77734375" style="2" customWidth="1"/>
    <col min="804" max="1032" width="10.33203125" style="2"/>
    <col min="1033" max="1034" width="0" style="2" hidden="1" customWidth="1"/>
    <col min="1035" max="1035" width="7.6640625" style="2" customWidth="1"/>
    <col min="1036" max="1036" width="4.21875" style="2" customWidth="1"/>
    <col min="1037" max="1037" width="98" style="2" customWidth="1"/>
    <col min="1038" max="1038" width="16.109375" style="2" customWidth="1"/>
    <col min="1039" max="1039" width="2" style="2" customWidth="1"/>
    <col min="1040" max="1040" width="15.88671875" style="2" customWidth="1"/>
    <col min="1041" max="1041" width="2" style="2" customWidth="1"/>
    <col min="1042" max="1042" width="13.33203125" style="2" customWidth="1"/>
    <col min="1043" max="1043" width="2" style="2" customWidth="1"/>
    <col min="1044" max="1044" width="13.33203125" style="2" customWidth="1"/>
    <col min="1045" max="1045" width="2.33203125" style="2" customWidth="1"/>
    <col min="1046" max="1046" width="2.109375" style="2" customWidth="1"/>
    <col min="1047" max="1047" width="16.77734375" style="2" customWidth="1"/>
    <col min="1048" max="1048" width="13.77734375" style="2" customWidth="1"/>
    <col min="1049" max="1058" width="8.6640625" style="2" customWidth="1"/>
    <col min="1059" max="1059" width="20.77734375" style="2" customWidth="1"/>
    <col min="1060" max="1288" width="10.33203125" style="2"/>
    <col min="1289" max="1290" width="0" style="2" hidden="1" customWidth="1"/>
    <col min="1291" max="1291" width="7.6640625" style="2" customWidth="1"/>
    <col min="1292" max="1292" width="4.21875" style="2" customWidth="1"/>
    <col min="1293" max="1293" width="98" style="2" customWidth="1"/>
    <col min="1294" max="1294" width="16.109375" style="2" customWidth="1"/>
    <col min="1295" max="1295" width="2" style="2" customWidth="1"/>
    <col min="1296" max="1296" width="15.88671875" style="2" customWidth="1"/>
    <col min="1297" max="1297" width="2" style="2" customWidth="1"/>
    <col min="1298" max="1298" width="13.33203125" style="2" customWidth="1"/>
    <col min="1299" max="1299" width="2" style="2" customWidth="1"/>
    <col min="1300" max="1300" width="13.33203125" style="2" customWidth="1"/>
    <col min="1301" max="1301" width="2.33203125" style="2" customWidth="1"/>
    <col min="1302" max="1302" width="2.109375" style="2" customWidth="1"/>
    <col min="1303" max="1303" width="16.77734375" style="2" customWidth="1"/>
    <col min="1304" max="1304" width="13.77734375" style="2" customWidth="1"/>
    <col min="1305" max="1314" width="8.6640625" style="2" customWidth="1"/>
    <col min="1315" max="1315" width="20.77734375" style="2" customWidth="1"/>
    <col min="1316" max="1544" width="10.33203125" style="2"/>
    <col min="1545" max="1546" width="0" style="2" hidden="1" customWidth="1"/>
    <col min="1547" max="1547" width="7.6640625" style="2" customWidth="1"/>
    <col min="1548" max="1548" width="4.21875" style="2" customWidth="1"/>
    <col min="1549" max="1549" width="98" style="2" customWidth="1"/>
    <col min="1550" max="1550" width="16.109375" style="2" customWidth="1"/>
    <col min="1551" max="1551" width="2" style="2" customWidth="1"/>
    <col min="1552" max="1552" width="15.88671875" style="2" customWidth="1"/>
    <col min="1553" max="1553" width="2" style="2" customWidth="1"/>
    <col min="1554" max="1554" width="13.33203125" style="2" customWidth="1"/>
    <col min="1555" max="1555" width="2" style="2" customWidth="1"/>
    <col min="1556" max="1556" width="13.33203125" style="2" customWidth="1"/>
    <col min="1557" max="1557" width="2.33203125" style="2" customWidth="1"/>
    <col min="1558" max="1558" width="2.109375" style="2" customWidth="1"/>
    <col min="1559" max="1559" width="16.77734375" style="2" customWidth="1"/>
    <col min="1560" max="1560" width="13.77734375" style="2" customWidth="1"/>
    <col min="1561" max="1570" width="8.6640625" style="2" customWidth="1"/>
    <col min="1571" max="1571" width="20.77734375" style="2" customWidth="1"/>
    <col min="1572" max="1800" width="10.33203125" style="2"/>
    <col min="1801" max="1802" width="0" style="2" hidden="1" customWidth="1"/>
    <col min="1803" max="1803" width="7.6640625" style="2" customWidth="1"/>
    <col min="1804" max="1804" width="4.21875" style="2" customWidth="1"/>
    <col min="1805" max="1805" width="98" style="2" customWidth="1"/>
    <col min="1806" max="1806" width="16.109375" style="2" customWidth="1"/>
    <col min="1807" max="1807" width="2" style="2" customWidth="1"/>
    <col min="1808" max="1808" width="15.88671875" style="2" customWidth="1"/>
    <col min="1809" max="1809" width="2" style="2" customWidth="1"/>
    <col min="1810" max="1810" width="13.33203125" style="2" customWidth="1"/>
    <col min="1811" max="1811" width="2" style="2" customWidth="1"/>
    <col min="1812" max="1812" width="13.33203125" style="2" customWidth="1"/>
    <col min="1813" max="1813" width="2.33203125" style="2" customWidth="1"/>
    <col min="1814" max="1814" width="2.109375" style="2" customWidth="1"/>
    <col min="1815" max="1815" width="16.77734375" style="2" customWidth="1"/>
    <col min="1816" max="1816" width="13.77734375" style="2" customWidth="1"/>
    <col min="1817" max="1826" width="8.6640625" style="2" customWidth="1"/>
    <col min="1827" max="1827" width="20.77734375" style="2" customWidth="1"/>
    <col min="1828" max="2056" width="10.33203125" style="2"/>
    <col min="2057" max="2058" width="0" style="2" hidden="1" customWidth="1"/>
    <col min="2059" max="2059" width="7.6640625" style="2" customWidth="1"/>
    <col min="2060" max="2060" width="4.21875" style="2" customWidth="1"/>
    <col min="2061" max="2061" width="98" style="2" customWidth="1"/>
    <col min="2062" max="2062" width="16.109375" style="2" customWidth="1"/>
    <col min="2063" max="2063" width="2" style="2" customWidth="1"/>
    <col min="2064" max="2064" width="15.88671875" style="2" customWidth="1"/>
    <col min="2065" max="2065" width="2" style="2" customWidth="1"/>
    <col min="2066" max="2066" width="13.33203125" style="2" customWidth="1"/>
    <col min="2067" max="2067" width="2" style="2" customWidth="1"/>
    <col min="2068" max="2068" width="13.33203125" style="2" customWidth="1"/>
    <col min="2069" max="2069" width="2.33203125" style="2" customWidth="1"/>
    <col min="2070" max="2070" width="2.109375" style="2" customWidth="1"/>
    <col min="2071" max="2071" width="16.77734375" style="2" customWidth="1"/>
    <col min="2072" max="2072" width="13.77734375" style="2" customWidth="1"/>
    <col min="2073" max="2082" width="8.6640625" style="2" customWidth="1"/>
    <col min="2083" max="2083" width="20.77734375" style="2" customWidth="1"/>
    <col min="2084" max="2312" width="10.33203125" style="2"/>
    <col min="2313" max="2314" width="0" style="2" hidden="1" customWidth="1"/>
    <col min="2315" max="2315" width="7.6640625" style="2" customWidth="1"/>
    <col min="2316" max="2316" width="4.21875" style="2" customWidth="1"/>
    <col min="2317" max="2317" width="98" style="2" customWidth="1"/>
    <col min="2318" max="2318" width="16.109375" style="2" customWidth="1"/>
    <col min="2319" max="2319" width="2" style="2" customWidth="1"/>
    <col min="2320" max="2320" width="15.88671875" style="2" customWidth="1"/>
    <col min="2321" max="2321" width="2" style="2" customWidth="1"/>
    <col min="2322" max="2322" width="13.33203125" style="2" customWidth="1"/>
    <col min="2323" max="2323" width="2" style="2" customWidth="1"/>
    <col min="2324" max="2324" width="13.33203125" style="2" customWidth="1"/>
    <col min="2325" max="2325" width="2.33203125" style="2" customWidth="1"/>
    <col min="2326" max="2326" width="2.109375" style="2" customWidth="1"/>
    <col min="2327" max="2327" width="16.77734375" style="2" customWidth="1"/>
    <col min="2328" max="2328" width="13.77734375" style="2" customWidth="1"/>
    <col min="2329" max="2338" width="8.6640625" style="2" customWidth="1"/>
    <col min="2339" max="2339" width="20.77734375" style="2" customWidth="1"/>
    <col min="2340" max="2568" width="10.33203125" style="2"/>
    <col min="2569" max="2570" width="0" style="2" hidden="1" customWidth="1"/>
    <col min="2571" max="2571" width="7.6640625" style="2" customWidth="1"/>
    <col min="2572" max="2572" width="4.21875" style="2" customWidth="1"/>
    <col min="2573" max="2573" width="98" style="2" customWidth="1"/>
    <col min="2574" max="2574" width="16.109375" style="2" customWidth="1"/>
    <col min="2575" max="2575" width="2" style="2" customWidth="1"/>
    <col min="2576" max="2576" width="15.88671875" style="2" customWidth="1"/>
    <col min="2577" max="2577" width="2" style="2" customWidth="1"/>
    <col min="2578" max="2578" width="13.33203125" style="2" customWidth="1"/>
    <col min="2579" max="2579" width="2" style="2" customWidth="1"/>
    <col min="2580" max="2580" width="13.33203125" style="2" customWidth="1"/>
    <col min="2581" max="2581" width="2.33203125" style="2" customWidth="1"/>
    <col min="2582" max="2582" width="2.109375" style="2" customWidth="1"/>
    <col min="2583" max="2583" width="16.77734375" style="2" customWidth="1"/>
    <col min="2584" max="2584" width="13.77734375" style="2" customWidth="1"/>
    <col min="2585" max="2594" width="8.6640625" style="2" customWidth="1"/>
    <col min="2595" max="2595" width="20.77734375" style="2" customWidth="1"/>
    <col min="2596" max="2824" width="10.33203125" style="2"/>
    <col min="2825" max="2826" width="0" style="2" hidden="1" customWidth="1"/>
    <col min="2827" max="2827" width="7.6640625" style="2" customWidth="1"/>
    <col min="2828" max="2828" width="4.21875" style="2" customWidth="1"/>
    <col min="2829" max="2829" width="98" style="2" customWidth="1"/>
    <col min="2830" max="2830" width="16.109375" style="2" customWidth="1"/>
    <col min="2831" max="2831" width="2" style="2" customWidth="1"/>
    <col min="2832" max="2832" width="15.88671875" style="2" customWidth="1"/>
    <col min="2833" max="2833" width="2" style="2" customWidth="1"/>
    <col min="2834" max="2834" width="13.33203125" style="2" customWidth="1"/>
    <col min="2835" max="2835" width="2" style="2" customWidth="1"/>
    <col min="2836" max="2836" width="13.33203125" style="2" customWidth="1"/>
    <col min="2837" max="2837" width="2.33203125" style="2" customWidth="1"/>
    <col min="2838" max="2838" width="2.109375" style="2" customWidth="1"/>
    <col min="2839" max="2839" width="16.77734375" style="2" customWidth="1"/>
    <col min="2840" max="2840" width="13.77734375" style="2" customWidth="1"/>
    <col min="2841" max="2850" width="8.6640625" style="2" customWidth="1"/>
    <col min="2851" max="2851" width="20.77734375" style="2" customWidth="1"/>
    <col min="2852" max="3080" width="10.33203125" style="2"/>
    <col min="3081" max="3082" width="0" style="2" hidden="1" customWidth="1"/>
    <col min="3083" max="3083" width="7.6640625" style="2" customWidth="1"/>
    <col min="3084" max="3084" width="4.21875" style="2" customWidth="1"/>
    <col min="3085" max="3085" width="98" style="2" customWidth="1"/>
    <col min="3086" max="3086" width="16.109375" style="2" customWidth="1"/>
    <col min="3087" max="3087" width="2" style="2" customWidth="1"/>
    <col min="3088" max="3088" width="15.88671875" style="2" customWidth="1"/>
    <col min="3089" max="3089" width="2" style="2" customWidth="1"/>
    <col min="3090" max="3090" width="13.33203125" style="2" customWidth="1"/>
    <col min="3091" max="3091" width="2" style="2" customWidth="1"/>
    <col min="3092" max="3092" width="13.33203125" style="2" customWidth="1"/>
    <col min="3093" max="3093" width="2.33203125" style="2" customWidth="1"/>
    <col min="3094" max="3094" width="2.109375" style="2" customWidth="1"/>
    <col min="3095" max="3095" width="16.77734375" style="2" customWidth="1"/>
    <col min="3096" max="3096" width="13.77734375" style="2" customWidth="1"/>
    <col min="3097" max="3106" width="8.6640625" style="2" customWidth="1"/>
    <col min="3107" max="3107" width="20.77734375" style="2" customWidth="1"/>
    <col min="3108" max="3336" width="10.33203125" style="2"/>
    <col min="3337" max="3338" width="0" style="2" hidden="1" customWidth="1"/>
    <col min="3339" max="3339" width="7.6640625" style="2" customWidth="1"/>
    <col min="3340" max="3340" width="4.21875" style="2" customWidth="1"/>
    <col min="3341" max="3341" width="98" style="2" customWidth="1"/>
    <col min="3342" max="3342" width="16.109375" style="2" customWidth="1"/>
    <col min="3343" max="3343" width="2" style="2" customWidth="1"/>
    <col min="3344" max="3344" width="15.88671875" style="2" customWidth="1"/>
    <col min="3345" max="3345" width="2" style="2" customWidth="1"/>
    <col min="3346" max="3346" width="13.33203125" style="2" customWidth="1"/>
    <col min="3347" max="3347" width="2" style="2" customWidth="1"/>
    <col min="3348" max="3348" width="13.33203125" style="2" customWidth="1"/>
    <col min="3349" max="3349" width="2.33203125" style="2" customWidth="1"/>
    <col min="3350" max="3350" width="2.109375" style="2" customWidth="1"/>
    <col min="3351" max="3351" width="16.77734375" style="2" customWidth="1"/>
    <col min="3352" max="3352" width="13.77734375" style="2" customWidth="1"/>
    <col min="3353" max="3362" width="8.6640625" style="2" customWidth="1"/>
    <col min="3363" max="3363" width="20.77734375" style="2" customWidth="1"/>
    <col min="3364" max="3592" width="10.33203125" style="2"/>
    <col min="3593" max="3594" width="0" style="2" hidden="1" customWidth="1"/>
    <col min="3595" max="3595" width="7.6640625" style="2" customWidth="1"/>
    <col min="3596" max="3596" width="4.21875" style="2" customWidth="1"/>
    <col min="3597" max="3597" width="98" style="2" customWidth="1"/>
    <col min="3598" max="3598" width="16.109375" style="2" customWidth="1"/>
    <col min="3599" max="3599" width="2" style="2" customWidth="1"/>
    <col min="3600" max="3600" width="15.88671875" style="2" customWidth="1"/>
    <col min="3601" max="3601" width="2" style="2" customWidth="1"/>
    <col min="3602" max="3602" width="13.33203125" style="2" customWidth="1"/>
    <col min="3603" max="3603" width="2" style="2" customWidth="1"/>
    <col min="3604" max="3604" width="13.33203125" style="2" customWidth="1"/>
    <col min="3605" max="3605" width="2.33203125" style="2" customWidth="1"/>
    <col min="3606" max="3606" width="2.109375" style="2" customWidth="1"/>
    <col min="3607" max="3607" width="16.77734375" style="2" customWidth="1"/>
    <col min="3608" max="3608" width="13.77734375" style="2" customWidth="1"/>
    <col min="3609" max="3618" width="8.6640625" style="2" customWidth="1"/>
    <col min="3619" max="3619" width="20.77734375" style="2" customWidth="1"/>
    <col min="3620" max="3848" width="10.33203125" style="2"/>
    <col min="3849" max="3850" width="0" style="2" hidden="1" customWidth="1"/>
    <col min="3851" max="3851" width="7.6640625" style="2" customWidth="1"/>
    <col min="3852" max="3852" width="4.21875" style="2" customWidth="1"/>
    <col min="3853" max="3853" width="98" style="2" customWidth="1"/>
    <col min="3854" max="3854" width="16.109375" style="2" customWidth="1"/>
    <col min="3855" max="3855" width="2" style="2" customWidth="1"/>
    <col min="3856" max="3856" width="15.88671875" style="2" customWidth="1"/>
    <col min="3857" max="3857" width="2" style="2" customWidth="1"/>
    <col min="3858" max="3858" width="13.33203125" style="2" customWidth="1"/>
    <col min="3859" max="3859" width="2" style="2" customWidth="1"/>
    <col min="3860" max="3860" width="13.33203125" style="2" customWidth="1"/>
    <col min="3861" max="3861" width="2.33203125" style="2" customWidth="1"/>
    <col min="3862" max="3862" width="2.109375" style="2" customWidth="1"/>
    <col min="3863" max="3863" width="16.77734375" style="2" customWidth="1"/>
    <col min="3864" max="3864" width="13.77734375" style="2" customWidth="1"/>
    <col min="3865" max="3874" width="8.6640625" style="2" customWidth="1"/>
    <col min="3875" max="3875" width="20.77734375" style="2" customWidth="1"/>
    <col min="3876" max="4104" width="10.33203125" style="2"/>
    <col min="4105" max="4106" width="0" style="2" hidden="1" customWidth="1"/>
    <col min="4107" max="4107" width="7.6640625" style="2" customWidth="1"/>
    <col min="4108" max="4108" width="4.21875" style="2" customWidth="1"/>
    <col min="4109" max="4109" width="98" style="2" customWidth="1"/>
    <col min="4110" max="4110" width="16.109375" style="2" customWidth="1"/>
    <col min="4111" max="4111" width="2" style="2" customWidth="1"/>
    <col min="4112" max="4112" width="15.88671875" style="2" customWidth="1"/>
    <col min="4113" max="4113" width="2" style="2" customWidth="1"/>
    <col min="4114" max="4114" width="13.33203125" style="2" customWidth="1"/>
    <col min="4115" max="4115" width="2" style="2" customWidth="1"/>
    <col min="4116" max="4116" width="13.33203125" style="2" customWidth="1"/>
    <col min="4117" max="4117" width="2.33203125" style="2" customWidth="1"/>
    <col min="4118" max="4118" width="2.109375" style="2" customWidth="1"/>
    <col min="4119" max="4119" width="16.77734375" style="2" customWidth="1"/>
    <col min="4120" max="4120" width="13.77734375" style="2" customWidth="1"/>
    <col min="4121" max="4130" width="8.6640625" style="2" customWidth="1"/>
    <col min="4131" max="4131" width="20.77734375" style="2" customWidth="1"/>
    <col min="4132" max="4360" width="10.33203125" style="2"/>
    <col min="4361" max="4362" width="0" style="2" hidden="1" customWidth="1"/>
    <col min="4363" max="4363" width="7.6640625" style="2" customWidth="1"/>
    <col min="4364" max="4364" width="4.21875" style="2" customWidth="1"/>
    <col min="4365" max="4365" width="98" style="2" customWidth="1"/>
    <col min="4366" max="4366" width="16.109375" style="2" customWidth="1"/>
    <col min="4367" max="4367" width="2" style="2" customWidth="1"/>
    <col min="4368" max="4368" width="15.88671875" style="2" customWidth="1"/>
    <col min="4369" max="4369" width="2" style="2" customWidth="1"/>
    <col min="4370" max="4370" width="13.33203125" style="2" customWidth="1"/>
    <col min="4371" max="4371" width="2" style="2" customWidth="1"/>
    <col min="4372" max="4372" width="13.33203125" style="2" customWidth="1"/>
    <col min="4373" max="4373" width="2.33203125" style="2" customWidth="1"/>
    <col min="4374" max="4374" width="2.109375" style="2" customWidth="1"/>
    <col min="4375" max="4375" width="16.77734375" style="2" customWidth="1"/>
    <col min="4376" max="4376" width="13.77734375" style="2" customWidth="1"/>
    <col min="4377" max="4386" width="8.6640625" style="2" customWidth="1"/>
    <col min="4387" max="4387" width="20.77734375" style="2" customWidth="1"/>
    <col min="4388" max="4616" width="10.33203125" style="2"/>
    <col min="4617" max="4618" width="0" style="2" hidden="1" customWidth="1"/>
    <col min="4619" max="4619" width="7.6640625" style="2" customWidth="1"/>
    <col min="4620" max="4620" width="4.21875" style="2" customWidth="1"/>
    <col min="4621" max="4621" width="98" style="2" customWidth="1"/>
    <col min="4622" max="4622" width="16.109375" style="2" customWidth="1"/>
    <col min="4623" max="4623" width="2" style="2" customWidth="1"/>
    <col min="4624" max="4624" width="15.88671875" style="2" customWidth="1"/>
    <col min="4625" max="4625" width="2" style="2" customWidth="1"/>
    <col min="4626" max="4626" width="13.33203125" style="2" customWidth="1"/>
    <col min="4627" max="4627" width="2" style="2" customWidth="1"/>
    <col min="4628" max="4628" width="13.33203125" style="2" customWidth="1"/>
    <col min="4629" max="4629" width="2.33203125" style="2" customWidth="1"/>
    <col min="4630" max="4630" width="2.109375" style="2" customWidth="1"/>
    <col min="4631" max="4631" width="16.77734375" style="2" customWidth="1"/>
    <col min="4632" max="4632" width="13.77734375" style="2" customWidth="1"/>
    <col min="4633" max="4642" width="8.6640625" style="2" customWidth="1"/>
    <col min="4643" max="4643" width="20.77734375" style="2" customWidth="1"/>
    <col min="4644" max="4872" width="10.33203125" style="2"/>
    <col min="4873" max="4874" width="0" style="2" hidden="1" customWidth="1"/>
    <col min="4875" max="4875" width="7.6640625" style="2" customWidth="1"/>
    <col min="4876" max="4876" width="4.21875" style="2" customWidth="1"/>
    <col min="4877" max="4877" width="98" style="2" customWidth="1"/>
    <col min="4878" max="4878" width="16.109375" style="2" customWidth="1"/>
    <col min="4879" max="4879" width="2" style="2" customWidth="1"/>
    <col min="4880" max="4880" width="15.88671875" style="2" customWidth="1"/>
    <col min="4881" max="4881" width="2" style="2" customWidth="1"/>
    <col min="4882" max="4882" width="13.33203125" style="2" customWidth="1"/>
    <col min="4883" max="4883" width="2" style="2" customWidth="1"/>
    <col min="4884" max="4884" width="13.33203125" style="2" customWidth="1"/>
    <col min="4885" max="4885" width="2.33203125" style="2" customWidth="1"/>
    <col min="4886" max="4886" width="2.109375" style="2" customWidth="1"/>
    <col min="4887" max="4887" width="16.77734375" style="2" customWidth="1"/>
    <col min="4888" max="4888" width="13.77734375" style="2" customWidth="1"/>
    <col min="4889" max="4898" width="8.6640625" style="2" customWidth="1"/>
    <col min="4899" max="4899" width="20.77734375" style="2" customWidth="1"/>
    <col min="4900" max="5128" width="10.33203125" style="2"/>
    <col min="5129" max="5130" width="0" style="2" hidden="1" customWidth="1"/>
    <col min="5131" max="5131" width="7.6640625" style="2" customWidth="1"/>
    <col min="5132" max="5132" width="4.21875" style="2" customWidth="1"/>
    <col min="5133" max="5133" width="98" style="2" customWidth="1"/>
    <col min="5134" max="5134" width="16.109375" style="2" customWidth="1"/>
    <col min="5135" max="5135" width="2" style="2" customWidth="1"/>
    <col min="5136" max="5136" width="15.88671875" style="2" customWidth="1"/>
    <col min="5137" max="5137" width="2" style="2" customWidth="1"/>
    <col min="5138" max="5138" width="13.33203125" style="2" customWidth="1"/>
    <col min="5139" max="5139" width="2" style="2" customWidth="1"/>
    <col min="5140" max="5140" width="13.33203125" style="2" customWidth="1"/>
    <col min="5141" max="5141" width="2.33203125" style="2" customWidth="1"/>
    <col min="5142" max="5142" width="2.109375" style="2" customWidth="1"/>
    <col min="5143" max="5143" width="16.77734375" style="2" customWidth="1"/>
    <col min="5144" max="5144" width="13.77734375" style="2" customWidth="1"/>
    <col min="5145" max="5154" width="8.6640625" style="2" customWidth="1"/>
    <col min="5155" max="5155" width="20.77734375" style="2" customWidth="1"/>
    <col min="5156" max="5384" width="10.33203125" style="2"/>
    <col min="5385" max="5386" width="0" style="2" hidden="1" customWidth="1"/>
    <col min="5387" max="5387" width="7.6640625" style="2" customWidth="1"/>
    <col min="5388" max="5388" width="4.21875" style="2" customWidth="1"/>
    <col min="5389" max="5389" width="98" style="2" customWidth="1"/>
    <col min="5390" max="5390" width="16.109375" style="2" customWidth="1"/>
    <col min="5391" max="5391" width="2" style="2" customWidth="1"/>
    <col min="5392" max="5392" width="15.88671875" style="2" customWidth="1"/>
    <col min="5393" max="5393" width="2" style="2" customWidth="1"/>
    <col min="5394" max="5394" width="13.33203125" style="2" customWidth="1"/>
    <col min="5395" max="5395" width="2" style="2" customWidth="1"/>
    <col min="5396" max="5396" width="13.33203125" style="2" customWidth="1"/>
    <col min="5397" max="5397" width="2.33203125" style="2" customWidth="1"/>
    <col min="5398" max="5398" width="2.109375" style="2" customWidth="1"/>
    <col min="5399" max="5399" width="16.77734375" style="2" customWidth="1"/>
    <col min="5400" max="5400" width="13.77734375" style="2" customWidth="1"/>
    <col min="5401" max="5410" width="8.6640625" style="2" customWidth="1"/>
    <col min="5411" max="5411" width="20.77734375" style="2" customWidth="1"/>
    <col min="5412" max="5640" width="10.33203125" style="2"/>
    <col min="5641" max="5642" width="0" style="2" hidden="1" customWidth="1"/>
    <col min="5643" max="5643" width="7.6640625" style="2" customWidth="1"/>
    <col min="5644" max="5644" width="4.21875" style="2" customWidth="1"/>
    <col min="5645" max="5645" width="98" style="2" customWidth="1"/>
    <col min="5646" max="5646" width="16.109375" style="2" customWidth="1"/>
    <col min="5647" max="5647" width="2" style="2" customWidth="1"/>
    <col min="5648" max="5648" width="15.88671875" style="2" customWidth="1"/>
    <col min="5649" max="5649" width="2" style="2" customWidth="1"/>
    <col min="5650" max="5650" width="13.33203125" style="2" customWidth="1"/>
    <col min="5651" max="5651" width="2" style="2" customWidth="1"/>
    <col min="5652" max="5652" width="13.33203125" style="2" customWidth="1"/>
    <col min="5653" max="5653" width="2.33203125" style="2" customWidth="1"/>
    <col min="5654" max="5654" width="2.109375" style="2" customWidth="1"/>
    <col min="5655" max="5655" width="16.77734375" style="2" customWidth="1"/>
    <col min="5656" max="5656" width="13.77734375" style="2" customWidth="1"/>
    <col min="5657" max="5666" width="8.6640625" style="2" customWidth="1"/>
    <col min="5667" max="5667" width="20.77734375" style="2" customWidth="1"/>
    <col min="5668" max="5896" width="10.33203125" style="2"/>
    <col min="5897" max="5898" width="0" style="2" hidden="1" customWidth="1"/>
    <col min="5899" max="5899" width="7.6640625" style="2" customWidth="1"/>
    <col min="5900" max="5900" width="4.21875" style="2" customWidth="1"/>
    <col min="5901" max="5901" width="98" style="2" customWidth="1"/>
    <col min="5902" max="5902" width="16.109375" style="2" customWidth="1"/>
    <col min="5903" max="5903" width="2" style="2" customWidth="1"/>
    <col min="5904" max="5904" width="15.88671875" style="2" customWidth="1"/>
    <col min="5905" max="5905" width="2" style="2" customWidth="1"/>
    <col min="5906" max="5906" width="13.33203125" style="2" customWidth="1"/>
    <col min="5907" max="5907" width="2" style="2" customWidth="1"/>
    <col min="5908" max="5908" width="13.33203125" style="2" customWidth="1"/>
    <col min="5909" max="5909" width="2.33203125" style="2" customWidth="1"/>
    <col min="5910" max="5910" width="2.109375" style="2" customWidth="1"/>
    <col min="5911" max="5911" width="16.77734375" style="2" customWidth="1"/>
    <col min="5912" max="5912" width="13.77734375" style="2" customWidth="1"/>
    <col min="5913" max="5922" width="8.6640625" style="2" customWidth="1"/>
    <col min="5923" max="5923" width="20.77734375" style="2" customWidth="1"/>
    <col min="5924" max="6152" width="10.33203125" style="2"/>
    <col min="6153" max="6154" width="0" style="2" hidden="1" customWidth="1"/>
    <col min="6155" max="6155" width="7.6640625" style="2" customWidth="1"/>
    <col min="6156" max="6156" width="4.21875" style="2" customWidth="1"/>
    <col min="6157" max="6157" width="98" style="2" customWidth="1"/>
    <col min="6158" max="6158" width="16.109375" style="2" customWidth="1"/>
    <col min="6159" max="6159" width="2" style="2" customWidth="1"/>
    <col min="6160" max="6160" width="15.88671875" style="2" customWidth="1"/>
    <col min="6161" max="6161" width="2" style="2" customWidth="1"/>
    <col min="6162" max="6162" width="13.33203125" style="2" customWidth="1"/>
    <col min="6163" max="6163" width="2" style="2" customWidth="1"/>
    <col min="6164" max="6164" width="13.33203125" style="2" customWidth="1"/>
    <col min="6165" max="6165" width="2.33203125" style="2" customWidth="1"/>
    <col min="6166" max="6166" width="2.109375" style="2" customWidth="1"/>
    <col min="6167" max="6167" width="16.77734375" style="2" customWidth="1"/>
    <col min="6168" max="6168" width="13.77734375" style="2" customWidth="1"/>
    <col min="6169" max="6178" width="8.6640625" style="2" customWidth="1"/>
    <col min="6179" max="6179" width="20.77734375" style="2" customWidth="1"/>
    <col min="6180" max="6408" width="10.33203125" style="2"/>
    <col min="6409" max="6410" width="0" style="2" hidden="1" customWidth="1"/>
    <col min="6411" max="6411" width="7.6640625" style="2" customWidth="1"/>
    <col min="6412" max="6412" width="4.21875" style="2" customWidth="1"/>
    <col min="6413" max="6413" width="98" style="2" customWidth="1"/>
    <col min="6414" max="6414" width="16.109375" style="2" customWidth="1"/>
    <col min="6415" max="6415" width="2" style="2" customWidth="1"/>
    <col min="6416" max="6416" width="15.88671875" style="2" customWidth="1"/>
    <col min="6417" max="6417" width="2" style="2" customWidth="1"/>
    <col min="6418" max="6418" width="13.33203125" style="2" customWidth="1"/>
    <col min="6419" max="6419" width="2" style="2" customWidth="1"/>
    <col min="6420" max="6420" width="13.33203125" style="2" customWidth="1"/>
    <col min="6421" max="6421" width="2.33203125" style="2" customWidth="1"/>
    <col min="6422" max="6422" width="2.109375" style="2" customWidth="1"/>
    <col min="6423" max="6423" width="16.77734375" style="2" customWidth="1"/>
    <col min="6424" max="6424" width="13.77734375" style="2" customWidth="1"/>
    <col min="6425" max="6434" width="8.6640625" style="2" customWidth="1"/>
    <col min="6435" max="6435" width="20.77734375" style="2" customWidth="1"/>
    <col min="6436" max="6664" width="10.33203125" style="2"/>
    <col min="6665" max="6666" width="0" style="2" hidden="1" customWidth="1"/>
    <col min="6667" max="6667" width="7.6640625" style="2" customWidth="1"/>
    <col min="6668" max="6668" width="4.21875" style="2" customWidth="1"/>
    <col min="6669" max="6669" width="98" style="2" customWidth="1"/>
    <col min="6670" max="6670" width="16.109375" style="2" customWidth="1"/>
    <col min="6671" max="6671" width="2" style="2" customWidth="1"/>
    <col min="6672" max="6672" width="15.88671875" style="2" customWidth="1"/>
    <col min="6673" max="6673" width="2" style="2" customWidth="1"/>
    <col min="6674" max="6674" width="13.33203125" style="2" customWidth="1"/>
    <col min="6675" max="6675" width="2" style="2" customWidth="1"/>
    <col min="6676" max="6676" width="13.33203125" style="2" customWidth="1"/>
    <col min="6677" max="6677" width="2.33203125" style="2" customWidth="1"/>
    <col min="6678" max="6678" width="2.109375" style="2" customWidth="1"/>
    <col min="6679" max="6679" width="16.77734375" style="2" customWidth="1"/>
    <col min="6680" max="6680" width="13.77734375" style="2" customWidth="1"/>
    <col min="6681" max="6690" width="8.6640625" style="2" customWidth="1"/>
    <col min="6691" max="6691" width="20.77734375" style="2" customWidth="1"/>
    <col min="6692" max="6920" width="10.33203125" style="2"/>
    <col min="6921" max="6922" width="0" style="2" hidden="1" customWidth="1"/>
    <col min="6923" max="6923" width="7.6640625" style="2" customWidth="1"/>
    <col min="6924" max="6924" width="4.21875" style="2" customWidth="1"/>
    <col min="6925" max="6925" width="98" style="2" customWidth="1"/>
    <col min="6926" max="6926" width="16.109375" style="2" customWidth="1"/>
    <col min="6927" max="6927" width="2" style="2" customWidth="1"/>
    <col min="6928" max="6928" width="15.88671875" style="2" customWidth="1"/>
    <col min="6929" max="6929" width="2" style="2" customWidth="1"/>
    <col min="6930" max="6930" width="13.33203125" style="2" customWidth="1"/>
    <col min="6931" max="6931" width="2" style="2" customWidth="1"/>
    <col min="6932" max="6932" width="13.33203125" style="2" customWidth="1"/>
    <col min="6933" max="6933" width="2.33203125" style="2" customWidth="1"/>
    <col min="6934" max="6934" width="2.109375" style="2" customWidth="1"/>
    <col min="6935" max="6935" width="16.77734375" style="2" customWidth="1"/>
    <col min="6936" max="6936" width="13.77734375" style="2" customWidth="1"/>
    <col min="6937" max="6946" width="8.6640625" style="2" customWidth="1"/>
    <col min="6947" max="6947" width="20.77734375" style="2" customWidth="1"/>
    <col min="6948" max="7176" width="10.33203125" style="2"/>
    <col min="7177" max="7178" width="0" style="2" hidden="1" customWidth="1"/>
    <col min="7179" max="7179" width="7.6640625" style="2" customWidth="1"/>
    <col min="7180" max="7180" width="4.21875" style="2" customWidth="1"/>
    <col min="7181" max="7181" width="98" style="2" customWidth="1"/>
    <col min="7182" max="7182" width="16.109375" style="2" customWidth="1"/>
    <col min="7183" max="7183" width="2" style="2" customWidth="1"/>
    <col min="7184" max="7184" width="15.88671875" style="2" customWidth="1"/>
    <col min="7185" max="7185" width="2" style="2" customWidth="1"/>
    <col min="7186" max="7186" width="13.33203125" style="2" customWidth="1"/>
    <col min="7187" max="7187" width="2" style="2" customWidth="1"/>
    <col min="7188" max="7188" width="13.33203125" style="2" customWidth="1"/>
    <col min="7189" max="7189" width="2.33203125" style="2" customWidth="1"/>
    <col min="7190" max="7190" width="2.109375" style="2" customWidth="1"/>
    <col min="7191" max="7191" width="16.77734375" style="2" customWidth="1"/>
    <col min="7192" max="7192" width="13.77734375" style="2" customWidth="1"/>
    <col min="7193" max="7202" width="8.6640625" style="2" customWidth="1"/>
    <col min="7203" max="7203" width="20.77734375" style="2" customWidth="1"/>
    <col min="7204" max="7432" width="10.33203125" style="2"/>
    <col min="7433" max="7434" width="0" style="2" hidden="1" customWidth="1"/>
    <col min="7435" max="7435" width="7.6640625" style="2" customWidth="1"/>
    <col min="7436" max="7436" width="4.21875" style="2" customWidth="1"/>
    <col min="7437" max="7437" width="98" style="2" customWidth="1"/>
    <col min="7438" max="7438" width="16.109375" style="2" customWidth="1"/>
    <col min="7439" max="7439" width="2" style="2" customWidth="1"/>
    <col min="7440" max="7440" width="15.88671875" style="2" customWidth="1"/>
    <col min="7441" max="7441" width="2" style="2" customWidth="1"/>
    <col min="7442" max="7442" width="13.33203125" style="2" customWidth="1"/>
    <col min="7443" max="7443" width="2" style="2" customWidth="1"/>
    <col min="7444" max="7444" width="13.33203125" style="2" customWidth="1"/>
    <col min="7445" max="7445" width="2.33203125" style="2" customWidth="1"/>
    <col min="7446" max="7446" width="2.109375" style="2" customWidth="1"/>
    <col min="7447" max="7447" width="16.77734375" style="2" customWidth="1"/>
    <col min="7448" max="7448" width="13.77734375" style="2" customWidth="1"/>
    <col min="7449" max="7458" width="8.6640625" style="2" customWidth="1"/>
    <col min="7459" max="7459" width="20.77734375" style="2" customWidth="1"/>
    <col min="7460" max="7688" width="10.33203125" style="2"/>
    <col min="7689" max="7690" width="0" style="2" hidden="1" customWidth="1"/>
    <col min="7691" max="7691" width="7.6640625" style="2" customWidth="1"/>
    <col min="7692" max="7692" width="4.21875" style="2" customWidth="1"/>
    <col min="7693" max="7693" width="98" style="2" customWidth="1"/>
    <col min="7694" max="7694" width="16.109375" style="2" customWidth="1"/>
    <col min="7695" max="7695" width="2" style="2" customWidth="1"/>
    <col min="7696" max="7696" width="15.88671875" style="2" customWidth="1"/>
    <col min="7697" max="7697" width="2" style="2" customWidth="1"/>
    <col min="7698" max="7698" width="13.33203125" style="2" customWidth="1"/>
    <col min="7699" max="7699" width="2" style="2" customWidth="1"/>
    <col min="7700" max="7700" width="13.33203125" style="2" customWidth="1"/>
    <col min="7701" max="7701" width="2.33203125" style="2" customWidth="1"/>
    <col min="7702" max="7702" width="2.109375" style="2" customWidth="1"/>
    <col min="7703" max="7703" width="16.77734375" style="2" customWidth="1"/>
    <col min="7704" max="7704" width="13.77734375" style="2" customWidth="1"/>
    <col min="7705" max="7714" width="8.6640625" style="2" customWidth="1"/>
    <col min="7715" max="7715" width="20.77734375" style="2" customWidth="1"/>
    <col min="7716" max="7944" width="10.33203125" style="2"/>
    <col min="7945" max="7946" width="0" style="2" hidden="1" customWidth="1"/>
    <col min="7947" max="7947" width="7.6640625" style="2" customWidth="1"/>
    <col min="7948" max="7948" width="4.21875" style="2" customWidth="1"/>
    <col min="7949" max="7949" width="98" style="2" customWidth="1"/>
    <col min="7950" max="7950" width="16.109375" style="2" customWidth="1"/>
    <col min="7951" max="7951" width="2" style="2" customWidth="1"/>
    <col min="7952" max="7952" width="15.88671875" style="2" customWidth="1"/>
    <col min="7953" max="7953" width="2" style="2" customWidth="1"/>
    <col min="7954" max="7954" width="13.33203125" style="2" customWidth="1"/>
    <col min="7955" max="7955" width="2" style="2" customWidth="1"/>
    <col min="7956" max="7956" width="13.33203125" style="2" customWidth="1"/>
    <col min="7957" max="7957" width="2.33203125" style="2" customWidth="1"/>
    <col min="7958" max="7958" width="2.109375" style="2" customWidth="1"/>
    <col min="7959" max="7959" width="16.77734375" style="2" customWidth="1"/>
    <col min="7960" max="7960" width="13.77734375" style="2" customWidth="1"/>
    <col min="7961" max="7970" width="8.6640625" style="2" customWidth="1"/>
    <col min="7971" max="7971" width="20.77734375" style="2" customWidth="1"/>
    <col min="7972" max="8200" width="10.33203125" style="2"/>
    <col min="8201" max="8202" width="0" style="2" hidden="1" customWidth="1"/>
    <col min="8203" max="8203" width="7.6640625" style="2" customWidth="1"/>
    <col min="8204" max="8204" width="4.21875" style="2" customWidth="1"/>
    <col min="8205" max="8205" width="98" style="2" customWidth="1"/>
    <col min="8206" max="8206" width="16.109375" style="2" customWidth="1"/>
    <col min="8207" max="8207" width="2" style="2" customWidth="1"/>
    <col min="8208" max="8208" width="15.88671875" style="2" customWidth="1"/>
    <col min="8209" max="8209" width="2" style="2" customWidth="1"/>
    <col min="8210" max="8210" width="13.33203125" style="2" customWidth="1"/>
    <col min="8211" max="8211" width="2" style="2" customWidth="1"/>
    <col min="8212" max="8212" width="13.33203125" style="2" customWidth="1"/>
    <col min="8213" max="8213" width="2.33203125" style="2" customWidth="1"/>
    <col min="8214" max="8214" width="2.109375" style="2" customWidth="1"/>
    <col min="8215" max="8215" width="16.77734375" style="2" customWidth="1"/>
    <col min="8216" max="8216" width="13.77734375" style="2" customWidth="1"/>
    <col min="8217" max="8226" width="8.6640625" style="2" customWidth="1"/>
    <col min="8227" max="8227" width="20.77734375" style="2" customWidth="1"/>
    <col min="8228" max="8456" width="10.33203125" style="2"/>
    <col min="8457" max="8458" width="0" style="2" hidden="1" customWidth="1"/>
    <col min="8459" max="8459" width="7.6640625" style="2" customWidth="1"/>
    <col min="8460" max="8460" width="4.21875" style="2" customWidth="1"/>
    <col min="8461" max="8461" width="98" style="2" customWidth="1"/>
    <col min="8462" max="8462" width="16.109375" style="2" customWidth="1"/>
    <col min="8463" max="8463" width="2" style="2" customWidth="1"/>
    <col min="8464" max="8464" width="15.88671875" style="2" customWidth="1"/>
    <col min="8465" max="8465" width="2" style="2" customWidth="1"/>
    <col min="8466" max="8466" width="13.33203125" style="2" customWidth="1"/>
    <col min="8467" max="8467" width="2" style="2" customWidth="1"/>
    <col min="8468" max="8468" width="13.33203125" style="2" customWidth="1"/>
    <col min="8469" max="8469" width="2.33203125" style="2" customWidth="1"/>
    <col min="8470" max="8470" width="2.109375" style="2" customWidth="1"/>
    <col min="8471" max="8471" width="16.77734375" style="2" customWidth="1"/>
    <col min="8472" max="8472" width="13.77734375" style="2" customWidth="1"/>
    <col min="8473" max="8482" width="8.6640625" style="2" customWidth="1"/>
    <col min="8483" max="8483" width="20.77734375" style="2" customWidth="1"/>
    <col min="8484" max="8712" width="10.33203125" style="2"/>
    <col min="8713" max="8714" width="0" style="2" hidden="1" customWidth="1"/>
    <col min="8715" max="8715" width="7.6640625" style="2" customWidth="1"/>
    <col min="8716" max="8716" width="4.21875" style="2" customWidth="1"/>
    <col min="8717" max="8717" width="98" style="2" customWidth="1"/>
    <col min="8718" max="8718" width="16.109375" style="2" customWidth="1"/>
    <col min="8719" max="8719" width="2" style="2" customWidth="1"/>
    <col min="8720" max="8720" width="15.88671875" style="2" customWidth="1"/>
    <col min="8721" max="8721" width="2" style="2" customWidth="1"/>
    <col min="8722" max="8722" width="13.33203125" style="2" customWidth="1"/>
    <col min="8723" max="8723" width="2" style="2" customWidth="1"/>
    <col min="8724" max="8724" width="13.33203125" style="2" customWidth="1"/>
    <col min="8725" max="8725" width="2.33203125" style="2" customWidth="1"/>
    <col min="8726" max="8726" width="2.109375" style="2" customWidth="1"/>
    <col min="8727" max="8727" width="16.77734375" style="2" customWidth="1"/>
    <col min="8728" max="8728" width="13.77734375" style="2" customWidth="1"/>
    <col min="8729" max="8738" width="8.6640625" style="2" customWidth="1"/>
    <col min="8739" max="8739" width="20.77734375" style="2" customWidth="1"/>
    <col min="8740" max="8968" width="10.33203125" style="2"/>
    <col min="8969" max="8970" width="0" style="2" hidden="1" customWidth="1"/>
    <col min="8971" max="8971" width="7.6640625" style="2" customWidth="1"/>
    <col min="8972" max="8972" width="4.21875" style="2" customWidth="1"/>
    <col min="8973" max="8973" width="98" style="2" customWidth="1"/>
    <col min="8974" max="8974" width="16.109375" style="2" customWidth="1"/>
    <col min="8975" max="8975" width="2" style="2" customWidth="1"/>
    <col min="8976" max="8976" width="15.88671875" style="2" customWidth="1"/>
    <col min="8977" max="8977" width="2" style="2" customWidth="1"/>
    <col min="8978" max="8978" width="13.33203125" style="2" customWidth="1"/>
    <col min="8979" max="8979" width="2" style="2" customWidth="1"/>
    <col min="8980" max="8980" width="13.33203125" style="2" customWidth="1"/>
    <col min="8981" max="8981" width="2.33203125" style="2" customWidth="1"/>
    <col min="8982" max="8982" width="2.109375" style="2" customWidth="1"/>
    <col min="8983" max="8983" width="16.77734375" style="2" customWidth="1"/>
    <col min="8984" max="8984" width="13.77734375" style="2" customWidth="1"/>
    <col min="8985" max="8994" width="8.6640625" style="2" customWidth="1"/>
    <col min="8995" max="8995" width="20.77734375" style="2" customWidth="1"/>
    <col min="8996" max="9224" width="10.33203125" style="2"/>
    <col min="9225" max="9226" width="0" style="2" hidden="1" customWidth="1"/>
    <col min="9227" max="9227" width="7.6640625" style="2" customWidth="1"/>
    <col min="9228" max="9228" width="4.21875" style="2" customWidth="1"/>
    <col min="9229" max="9229" width="98" style="2" customWidth="1"/>
    <col min="9230" max="9230" width="16.109375" style="2" customWidth="1"/>
    <col min="9231" max="9231" width="2" style="2" customWidth="1"/>
    <col min="9232" max="9232" width="15.88671875" style="2" customWidth="1"/>
    <col min="9233" max="9233" width="2" style="2" customWidth="1"/>
    <col min="9234" max="9234" width="13.33203125" style="2" customWidth="1"/>
    <col min="9235" max="9235" width="2" style="2" customWidth="1"/>
    <col min="9236" max="9236" width="13.33203125" style="2" customWidth="1"/>
    <col min="9237" max="9237" width="2.33203125" style="2" customWidth="1"/>
    <col min="9238" max="9238" width="2.109375" style="2" customWidth="1"/>
    <col min="9239" max="9239" width="16.77734375" style="2" customWidth="1"/>
    <col min="9240" max="9240" width="13.77734375" style="2" customWidth="1"/>
    <col min="9241" max="9250" width="8.6640625" style="2" customWidth="1"/>
    <col min="9251" max="9251" width="20.77734375" style="2" customWidth="1"/>
    <col min="9252" max="9480" width="10.33203125" style="2"/>
    <col min="9481" max="9482" width="0" style="2" hidden="1" customWidth="1"/>
    <col min="9483" max="9483" width="7.6640625" style="2" customWidth="1"/>
    <col min="9484" max="9484" width="4.21875" style="2" customWidth="1"/>
    <col min="9485" max="9485" width="98" style="2" customWidth="1"/>
    <col min="9486" max="9486" width="16.109375" style="2" customWidth="1"/>
    <col min="9487" max="9487" width="2" style="2" customWidth="1"/>
    <col min="9488" max="9488" width="15.88671875" style="2" customWidth="1"/>
    <col min="9489" max="9489" width="2" style="2" customWidth="1"/>
    <col min="9490" max="9490" width="13.33203125" style="2" customWidth="1"/>
    <col min="9491" max="9491" width="2" style="2" customWidth="1"/>
    <col min="9492" max="9492" width="13.33203125" style="2" customWidth="1"/>
    <col min="9493" max="9493" width="2.33203125" style="2" customWidth="1"/>
    <col min="9494" max="9494" width="2.109375" style="2" customWidth="1"/>
    <col min="9495" max="9495" width="16.77734375" style="2" customWidth="1"/>
    <col min="9496" max="9496" width="13.77734375" style="2" customWidth="1"/>
    <col min="9497" max="9506" width="8.6640625" style="2" customWidth="1"/>
    <col min="9507" max="9507" width="20.77734375" style="2" customWidth="1"/>
    <col min="9508" max="9736" width="10.33203125" style="2"/>
    <col min="9737" max="9738" width="0" style="2" hidden="1" customWidth="1"/>
    <col min="9739" max="9739" width="7.6640625" style="2" customWidth="1"/>
    <col min="9740" max="9740" width="4.21875" style="2" customWidth="1"/>
    <col min="9741" max="9741" width="98" style="2" customWidth="1"/>
    <col min="9742" max="9742" width="16.109375" style="2" customWidth="1"/>
    <col min="9743" max="9743" width="2" style="2" customWidth="1"/>
    <col min="9744" max="9744" width="15.88671875" style="2" customWidth="1"/>
    <col min="9745" max="9745" width="2" style="2" customWidth="1"/>
    <col min="9746" max="9746" width="13.33203125" style="2" customWidth="1"/>
    <col min="9747" max="9747" width="2" style="2" customWidth="1"/>
    <col min="9748" max="9748" width="13.33203125" style="2" customWidth="1"/>
    <col min="9749" max="9749" width="2.33203125" style="2" customWidth="1"/>
    <col min="9750" max="9750" width="2.109375" style="2" customWidth="1"/>
    <col min="9751" max="9751" width="16.77734375" style="2" customWidth="1"/>
    <col min="9752" max="9752" width="13.77734375" style="2" customWidth="1"/>
    <col min="9753" max="9762" width="8.6640625" style="2" customWidth="1"/>
    <col min="9763" max="9763" width="20.77734375" style="2" customWidth="1"/>
    <col min="9764" max="9992" width="10.33203125" style="2"/>
    <col min="9993" max="9994" width="0" style="2" hidden="1" customWidth="1"/>
    <col min="9995" max="9995" width="7.6640625" style="2" customWidth="1"/>
    <col min="9996" max="9996" width="4.21875" style="2" customWidth="1"/>
    <col min="9997" max="9997" width="98" style="2" customWidth="1"/>
    <col min="9998" max="9998" width="16.109375" style="2" customWidth="1"/>
    <col min="9999" max="9999" width="2" style="2" customWidth="1"/>
    <col min="10000" max="10000" width="15.88671875" style="2" customWidth="1"/>
    <col min="10001" max="10001" width="2" style="2" customWidth="1"/>
    <col min="10002" max="10002" width="13.33203125" style="2" customWidth="1"/>
    <col min="10003" max="10003" width="2" style="2" customWidth="1"/>
    <col min="10004" max="10004" width="13.33203125" style="2" customWidth="1"/>
    <col min="10005" max="10005" width="2.33203125" style="2" customWidth="1"/>
    <col min="10006" max="10006" width="2.109375" style="2" customWidth="1"/>
    <col min="10007" max="10007" width="16.77734375" style="2" customWidth="1"/>
    <col min="10008" max="10008" width="13.77734375" style="2" customWidth="1"/>
    <col min="10009" max="10018" width="8.6640625" style="2" customWidth="1"/>
    <col min="10019" max="10019" width="20.77734375" style="2" customWidth="1"/>
    <col min="10020" max="10248" width="10.33203125" style="2"/>
    <col min="10249" max="10250" width="0" style="2" hidden="1" customWidth="1"/>
    <col min="10251" max="10251" width="7.6640625" style="2" customWidth="1"/>
    <col min="10252" max="10252" width="4.21875" style="2" customWidth="1"/>
    <col min="10253" max="10253" width="98" style="2" customWidth="1"/>
    <col min="10254" max="10254" width="16.109375" style="2" customWidth="1"/>
    <col min="10255" max="10255" width="2" style="2" customWidth="1"/>
    <col min="10256" max="10256" width="15.88671875" style="2" customWidth="1"/>
    <col min="10257" max="10257" width="2" style="2" customWidth="1"/>
    <col min="10258" max="10258" width="13.33203125" style="2" customWidth="1"/>
    <col min="10259" max="10259" width="2" style="2" customWidth="1"/>
    <col min="10260" max="10260" width="13.33203125" style="2" customWidth="1"/>
    <col min="10261" max="10261" width="2.33203125" style="2" customWidth="1"/>
    <col min="10262" max="10262" width="2.109375" style="2" customWidth="1"/>
    <col min="10263" max="10263" width="16.77734375" style="2" customWidth="1"/>
    <col min="10264" max="10264" width="13.77734375" style="2" customWidth="1"/>
    <col min="10265" max="10274" width="8.6640625" style="2" customWidth="1"/>
    <col min="10275" max="10275" width="20.77734375" style="2" customWidth="1"/>
    <col min="10276" max="10504" width="10.33203125" style="2"/>
    <col min="10505" max="10506" width="0" style="2" hidden="1" customWidth="1"/>
    <col min="10507" max="10507" width="7.6640625" style="2" customWidth="1"/>
    <col min="10508" max="10508" width="4.21875" style="2" customWidth="1"/>
    <col min="10509" max="10509" width="98" style="2" customWidth="1"/>
    <col min="10510" max="10510" width="16.109375" style="2" customWidth="1"/>
    <col min="10511" max="10511" width="2" style="2" customWidth="1"/>
    <col min="10512" max="10512" width="15.88671875" style="2" customWidth="1"/>
    <col min="10513" max="10513" width="2" style="2" customWidth="1"/>
    <col min="10514" max="10514" width="13.33203125" style="2" customWidth="1"/>
    <col min="10515" max="10515" width="2" style="2" customWidth="1"/>
    <col min="10516" max="10516" width="13.33203125" style="2" customWidth="1"/>
    <col min="10517" max="10517" width="2.33203125" style="2" customWidth="1"/>
    <col min="10518" max="10518" width="2.109375" style="2" customWidth="1"/>
    <col min="10519" max="10519" width="16.77734375" style="2" customWidth="1"/>
    <col min="10520" max="10520" width="13.77734375" style="2" customWidth="1"/>
    <col min="10521" max="10530" width="8.6640625" style="2" customWidth="1"/>
    <col min="10531" max="10531" width="20.77734375" style="2" customWidth="1"/>
    <col min="10532" max="10760" width="10.33203125" style="2"/>
    <col min="10761" max="10762" width="0" style="2" hidden="1" customWidth="1"/>
    <col min="10763" max="10763" width="7.6640625" style="2" customWidth="1"/>
    <col min="10764" max="10764" width="4.21875" style="2" customWidth="1"/>
    <col min="10765" max="10765" width="98" style="2" customWidth="1"/>
    <col min="10766" max="10766" width="16.109375" style="2" customWidth="1"/>
    <col min="10767" max="10767" width="2" style="2" customWidth="1"/>
    <col min="10768" max="10768" width="15.88671875" style="2" customWidth="1"/>
    <col min="10769" max="10769" width="2" style="2" customWidth="1"/>
    <col min="10770" max="10770" width="13.33203125" style="2" customWidth="1"/>
    <col min="10771" max="10771" width="2" style="2" customWidth="1"/>
    <col min="10772" max="10772" width="13.33203125" style="2" customWidth="1"/>
    <col min="10773" max="10773" width="2.33203125" style="2" customWidth="1"/>
    <col min="10774" max="10774" width="2.109375" style="2" customWidth="1"/>
    <col min="10775" max="10775" width="16.77734375" style="2" customWidth="1"/>
    <col min="10776" max="10776" width="13.77734375" style="2" customWidth="1"/>
    <col min="10777" max="10786" width="8.6640625" style="2" customWidth="1"/>
    <col min="10787" max="10787" width="20.77734375" style="2" customWidth="1"/>
    <col min="10788" max="11016" width="10.33203125" style="2"/>
    <col min="11017" max="11018" width="0" style="2" hidden="1" customWidth="1"/>
    <col min="11019" max="11019" width="7.6640625" style="2" customWidth="1"/>
    <col min="11020" max="11020" width="4.21875" style="2" customWidth="1"/>
    <col min="11021" max="11021" width="98" style="2" customWidth="1"/>
    <col min="11022" max="11022" width="16.109375" style="2" customWidth="1"/>
    <col min="11023" max="11023" width="2" style="2" customWidth="1"/>
    <col min="11024" max="11024" width="15.88671875" style="2" customWidth="1"/>
    <col min="11025" max="11025" width="2" style="2" customWidth="1"/>
    <col min="11026" max="11026" width="13.33203125" style="2" customWidth="1"/>
    <col min="11027" max="11027" width="2" style="2" customWidth="1"/>
    <col min="11028" max="11028" width="13.33203125" style="2" customWidth="1"/>
    <col min="11029" max="11029" width="2.33203125" style="2" customWidth="1"/>
    <col min="11030" max="11030" width="2.109375" style="2" customWidth="1"/>
    <col min="11031" max="11031" width="16.77734375" style="2" customWidth="1"/>
    <col min="11032" max="11032" width="13.77734375" style="2" customWidth="1"/>
    <col min="11033" max="11042" width="8.6640625" style="2" customWidth="1"/>
    <col min="11043" max="11043" width="20.77734375" style="2" customWidth="1"/>
    <col min="11044" max="11272" width="10.33203125" style="2"/>
    <col min="11273" max="11274" width="0" style="2" hidden="1" customWidth="1"/>
    <col min="11275" max="11275" width="7.6640625" style="2" customWidth="1"/>
    <col min="11276" max="11276" width="4.21875" style="2" customWidth="1"/>
    <col min="11277" max="11277" width="98" style="2" customWidth="1"/>
    <col min="11278" max="11278" width="16.109375" style="2" customWidth="1"/>
    <col min="11279" max="11279" width="2" style="2" customWidth="1"/>
    <col min="11280" max="11280" width="15.88671875" style="2" customWidth="1"/>
    <col min="11281" max="11281" width="2" style="2" customWidth="1"/>
    <col min="11282" max="11282" width="13.33203125" style="2" customWidth="1"/>
    <col min="11283" max="11283" width="2" style="2" customWidth="1"/>
    <col min="11284" max="11284" width="13.33203125" style="2" customWidth="1"/>
    <col min="11285" max="11285" width="2.33203125" style="2" customWidth="1"/>
    <col min="11286" max="11286" width="2.109375" style="2" customWidth="1"/>
    <col min="11287" max="11287" width="16.77734375" style="2" customWidth="1"/>
    <col min="11288" max="11288" width="13.77734375" style="2" customWidth="1"/>
    <col min="11289" max="11298" width="8.6640625" style="2" customWidth="1"/>
    <col min="11299" max="11299" width="20.77734375" style="2" customWidth="1"/>
    <col min="11300" max="11528" width="10.33203125" style="2"/>
    <col min="11529" max="11530" width="0" style="2" hidden="1" customWidth="1"/>
    <col min="11531" max="11531" width="7.6640625" style="2" customWidth="1"/>
    <col min="11532" max="11532" width="4.21875" style="2" customWidth="1"/>
    <col min="11533" max="11533" width="98" style="2" customWidth="1"/>
    <col min="11534" max="11534" width="16.109375" style="2" customWidth="1"/>
    <col min="11535" max="11535" width="2" style="2" customWidth="1"/>
    <col min="11536" max="11536" width="15.88671875" style="2" customWidth="1"/>
    <col min="11537" max="11537" width="2" style="2" customWidth="1"/>
    <col min="11538" max="11538" width="13.33203125" style="2" customWidth="1"/>
    <col min="11539" max="11539" width="2" style="2" customWidth="1"/>
    <col min="11540" max="11540" width="13.33203125" style="2" customWidth="1"/>
    <col min="11541" max="11541" width="2.33203125" style="2" customWidth="1"/>
    <col min="11542" max="11542" width="2.109375" style="2" customWidth="1"/>
    <col min="11543" max="11543" width="16.77734375" style="2" customWidth="1"/>
    <col min="11544" max="11544" width="13.77734375" style="2" customWidth="1"/>
    <col min="11545" max="11554" width="8.6640625" style="2" customWidth="1"/>
    <col min="11555" max="11555" width="20.77734375" style="2" customWidth="1"/>
    <col min="11556" max="11784" width="10.33203125" style="2"/>
    <col min="11785" max="11786" width="0" style="2" hidden="1" customWidth="1"/>
    <col min="11787" max="11787" width="7.6640625" style="2" customWidth="1"/>
    <col min="11788" max="11788" width="4.21875" style="2" customWidth="1"/>
    <col min="11789" max="11789" width="98" style="2" customWidth="1"/>
    <col min="11790" max="11790" width="16.109375" style="2" customWidth="1"/>
    <col min="11791" max="11791" width="2" style="2" customWidth="1"/>
    <col min="11792" max="11792" width="15.88671875" style="2" customWidth="1"/>
    <col min="11793" max="11793" width="2" style="2" customWidth="1"/>
    <col min="11794" max="11794" width="13.33203125" style="2" customWidth="1"/>
    <col min="11795" max="11795" width="2" style="2" customWidth="1"/>
    <col min="11796" max="11796" width="13.33203125" style="2" customWidth="1"/>
    <col min="11797" max="11797" width="2.33203125" style="2" customWidth="1"/>
    <col min="11798" max="11798" width="2.109375" style="2" customWidth="1"/>
    <col min="11799" max="11799" width="16.77734375" style="2" customWidth="1"/>
    <col min="11800" max="11800" width="13.77734375" style="2" customWidth="1"/>
    <col min="11801" max="11810" width="8.6640625" style="2" customWidth="1"/>
    <col min="11811" max="11811" width="20.77734375" style="2" customWidth="1"/>
    <col min="11812" max="12040" width="10.33203125" style="2"/>
    <col min="12041" max="12042" width="0" style="2" hidden="1" customWidth="1"/>
    <col min="12043" max="12043" width="7.6640625" style="2" customWidth="1"/>
    <col min="12044" max="12044" width="4.21875" style="2" customWidth="1"/>
    <col min="12045" max="12045" width="98" style="2" customWidth="1"/>
    <col min="12046" max="12046" width="16.109375" style="2" customWidth="1"/>
    <col min="12047" max="12047" width="2" style="2" customWidth="1"/>
    <col min="12048" max="12048" width="15.88671875" style="2" customWidth="1"/>
    <col min="12049" max="12049" width="2" style="2" customWidth="1"/>
    <col min="12050" max="12050" width="13.33203125" style="2" customWidth="1"/>
    <col min="12051" max="12051" width="2" style="2" customWidth="1"/>
    <col min="12052" max="12052" width="13.33203125" style="2" customWidth="1"/>
    <col min="12053" max="12053" width="2.33203125" style="2" customWidth="1"/>
    <col min="12054" max="12054" width="2.109375" style="2" customWidth="1"/>
    <col min="12055" max="12055" width="16.77734375" style="2" customWidth="1"/>
    <col min="12056" max="12056" width="13.77734375" style="2" customWidth="1"/>
    <col min="12057" max="12066" width="8.6640625" style="2" customWidth="1"/>
    <col min="12067" max="12067" width="20.77734375" style="2" customWidth="1"/>
    <col min="12068" max="12296" width="10.33203125" style="2"/>
    <col min="12297" max="12298" width="0" style="2" hidden="1" customWidth="1"/>
    <col min="12299" max="12299" width="7.6640625" style="2" customWidth="1"/>
    <col min="12300" max="12300" width="4.21875" style="2" customWidth="1"/>
    <col min="12301" max="12301" width="98" style="2" customWidth="1"/>
    <col min="12302" max="12302" width="16.109375" style="2" customWidth="1"/>
    <col min="12303" max="12303" width="2" style="2" customWidth="1"/>
    <col min="12304" max="12304" width="15.88671875" style="2" customWidth="1"/>
    <col min="12305" max="12305" width="2" style="2" customWidth="1"/>
    <col min="12306" max="12306" width="13.33203125" style="2" customWidth="1"/>
    <col min="12307" max="12307" width="2" style="2" customWidth="1"/>
    <col min="12308" max="12308" width="13.33203125" style="2" customWidth="1"/>
    <col min="12309" max="12309" width="2.33203125" style="2" customWidth="1"/>
    <col min="12310" max="12310" width="2.109375" style="2" customWidth="1"/>
    <col min="12311" max="12311" width="16.77734375" style="2" customWidth="1"/>
    <col min="12312" max="12312" width="13.77734375" style="2" customWidth="1"/>
    <col min="12313" max="12322" width="8.6640625" style="2" customWidth="1"/>
    <col min="12323" max="12323" width="20.77734375" style="2" customWidth="1"/>
    <col min="12324" max="12552" width="10.33203125" style="2"/>
    <col min="12553" max="12554" width="0" style="2" hidden="1" customWidth="1"/>
    <col min="12555" max="12555" width="7.6640625" style="2" customWidth="1"/>
    <col min="12556" max="12556" width="4.21875" style="2" customWidth="1"/>
    <col min="12557" max="12557" width="98" style="2" customWidth="1"/>
    <col min="12558" max="12558" width="16.109375" style="2" customWidth="1"/>
    <col min="12559" max="12559" width="2" style="2" customWidth="1"/>
    <col min="12560" max="12560" width="15.88671875" style="2" customWidth="1"/>
    <col min="12561" max="12561" width="2" style="2" customWidth="1"/>
    <col min="12562" max="12562" width="13.33203125" style="2" customWidth="1"/>
    <col min="12563" max="12563" width="2" style="2" customWidth="1"/>
    <col min="12564" max="12564" width="13.33203125" style="2" customWidth="1"/>
    <col min="12565" max="12565" width="2.33203125" style="2" customWidth="1"/>
    <col min="12566" max="12566" width="2.109375" style="2" customWidth="1"/>
    <col min="12567" max="12567" width="16.77734375" style="2" customWidth="1"/>
    <col min="12568" max="12568" width="13.77734375" style="2" customWidth="1"/>
    <col min="12569" max="12578" width="8.6640625" style="2" customWidth="1"/>
    <col min="12579" max="12579" width="20.77734375" style="2" customWidth="1"/>
    <col min="12580" max="12808" width="10.33203125" style="2"/>
    <col min="12809" max="12810" width="0" style="2" hidden="1" customWidth="1"/>
    <col min="12811" max="12811" width="7.6640625" style="2" customWidth="1"/>
    <col min="12812" max="12812" width="4.21875" style="2" customWidth="1"/>
    <col min="12813" max="12813" width="98" style="2" customWidth="1"/>
    <col min="12814" max="12814" width="16.109375" style="2" customWidth="1"/>
    <col min="12815" max="12815" width="2" style="2" customWidth="1"/>
    <col min="12816" max="12816" width="15.88671875" style="2" customWidth="1"/>
    <col min="12817" max="12817" width="2" style="2" customWidth="1"/>
    <col min="12818" max="12818" width="13.33203125" style="2" customWidth="1"/>
    <col min="12819" max="12819" width="2" style="2" customWidth="1"/>
    <col min="12820" max="12820" width="13.33203125" style="2" customWidth="1"/>
    <col min="12821" max="12821" width="2.33203125" style="2" customWidth="1"/>
    <col min="12822" max="12822" width="2.109375" style="2" customWidth="1"/>
    <col min="12823" max="12823" width="16.77734375" style="2" customWidth="1"/>
    <col min="12824" max="12824" width="13.77734375" style="2" customWidth="1"/>
    <col min="12825" max="12834" width="8.6640625" style="2" customWidth="1"/>
    <col min="12835" max="12835" width="20.77734375" style="2" customWidth="1"/>
    <col min="12836" max="13064" width="10.33203125" style="2"/>
    <col min="13065" max="13066" width="0" style="2" hidden="1" customWidth="1"/>
    <col min="13067" max="13067" width="7.6640625" style="2" customWidth="1"/>
    <col min="13068" max="13068" width="4.21875" style="2" customWidth="1"/>
    <col min="13069" max="13069" width="98" style="2" customWidth="1"/>
    <col min="13070" max="13070" width="16.109375" style="2" customWidth="1"/>
    <col min="13071" max="13071" width="2" style="2" customWidth="1"/>
    <col min="13072" max="13072" width="15.88671875" style="2" customWidth="1"/>
    <col min="13073" max="13073" width="2" style="2" customWidth="1"/>
    <col min="13074" max="13074" width="13.33203125" style="2" customWidth="1"/>
    <col min="13075" max="13075" width="2" style="2" customWidth="1"/>
    <col min="13076" max="13076" width="13.33203125" style="2" customWidth="1"/>
    <col min="13077" max="13077" width="2.33203125" style="2" customWidth="1"/>
    <col min="13078" max="13078" width="2.109375" style="2" customWidth="1"/>
    <col min="13079" max="13079" width="16.77734375" style="2" customWidth="1"/>
    <col min="13080" max="13080" width="13.77734375" style="2" customWidth="1"/>
    <col min="13081" max="13090" width="8.6640625" style="2" customWidth="1"/>
    <col min="13091" max="13091" width="20.77734375" style="2" customWidth="1"/>
    <col min="13092" max="13320" width="10.33203125" style="2"/>
    <col min="13321" max="13322" width="0" style="2" hidden="1" customWidth="1"/>
    <col min="13323" max="13323" width="7.6640625" style="2" customWidth="1"/>
    <col min="13324" max="13324" width="4.21875" style="2" customWidth="1"/>
    <col min="13325" max="13325" width="98" style="2" customWidth="1"/>
    <col min="13326" max="13326" width="16.109375" style="2" customWidth="1"/>
    <col min="13327" max="13327" width="2" style="2" customWidth="1"/>
    <col min="13328" max="13328" width="15.88671875" style="2" customWidth="1"/>
    <col min="13329" max="13329" width="2" style="2" customWidth="1"/>
    <col min="13330" max="13330" width="13.33203125" style="2" customWidth="1"/>
    <col min="13331" max="13331" width="2" style="2" customWidth="1"/>
    <col min="13332" max="13332" width="13.33203125" style="2" customWidth="1"/>
    <col min="13333" max="13333" width="2.33203125" style="2" customWidth="1"/>
    <col min="13334" max="13334" width="2.109375" style="2" customWidth="1"/>
    <col min="13335" max="13335" width="16.77734375" style="2" customWidth="1"/>
    <col min="13336" max="13336" width="13.77734375" style="2" customWidth="1"/>
    <col min="13337" max="13346" width="8.6640625" style="2" customWidth="1"/>
    <col min="13347" max="13347" width="20.77734375" style="2" customWidth="1"/>
    <col min="13348" max="13576" width="10.33203125" style="2"/>
    <col min="13577" max="13578" width="0" style="2" hidden="1" customWidth="1"/>
    <col min="13579" max="13579" width="7.6640625" style="2" customWidth="1"/>
    <col min="13580" max="13580" width="4.21875" style="2" customWidth="1"/>
    <col min="13581" max="13581" width="98" style="2" customWidth="1"/>
    <col min="13582" max="13582" width="16.109375" style="2" customWidth="1"/>
    <col min="13583" max="13583" width="2" style="2" customWidth="1"/>
    <col min="13584" max="13584" width="15.88671875" style="2" customWidth="1"/>
    <col min="13585" max="13585" width="2" style="2" customWidth="1"/>
    <col min="13586" max="13586" width="13.33203125" style="2" customWidth="1"/>
    <col min="13587" max="13587" width="2" style="2" customWidth="1"/>
    <col min="13588" max="13588" width="13.33203125" style="2" customWidth="1"/>
    <col min="13589" max="13589" width="2.33203125" style="2" customWidth="1"/>
    <col min="13590" max="13590" width="2.109375" style="2" customWidth="1"/>
    <col min="13591" max="13591" width="16.77734375" style="2" customWidth="1"/>
    <col min="13592" max="13592" width="13.77734375" style="2" customWidth="1"/>
    <col min="13593" max="13602" width="8.6640625" style="2" customWidth="1"/>
    <col min="13603" max="13603" width="20.77734375" style="2" customWidth="1"/>
    <col min="13604" max="13832" width="10.33203125" style="2"/>
    <col min="13833" max="13834" width="0" style="2" hidden="1" customWidth="1"/>
    <col min="13835" max="13835" width="7.6640625" style="2" customWidth="1"/>
    <col min="13836" max="13836" width="4.21875" style="2" customWidth="1"/>
    <col min="13837" max="13837" width="98" style="2" customWidth="1"/>
    <col min="13838" max="13838" width="16.109375" style="2" customWidth="1"/>
    <col min="13839" max="13839" width="2" style="2" customWidth="1"/>
    <col min="13840" max="13840" width="15.88671875" style="2" customWidth="1"/>
    <col min="13841" max="13841" width="2" style="2" customWidth="1"/>
    <col min="13842" max="13842" width="13.33203125" style="2" customWidth="1"/>
    <col min="13843" max="13843" width="2" style="2" customWidth="1"/>
    <col min="13844" max="13844" width="13.33203125" style="2" customWidth="1"/>
    <col min="13845" max="13845" width="2.33203125" style="2" customWidth="1"/>
    <col min="13846" max="13846" width="2.109375" style="2" customWidth="1"/>
    <col min="13847" max="13847" width="16.77734375" style="2" customWidth="1"/>
    <col min="13848" max="13848" width="13.77734375" style="2" customWidth="1"/>
    <col min="13849" max="13858" width="8.6640625" style="2" customWidth="1"/>
    <col min="13859" max="13859" width="20.77734375" style="2" customWidth="1"/>
    <col min="13860" max="14088" width="10.33203125" style="2"/>
    <col min="14089" max="14090" width="0" style="2" hidden="1" customWidth="1"/>
    <col min="14091" max="14091" width="7.6640625" style="2" customWidth="1"/>
    <col min="14092" max="14092" width="4.21875" style="2" customWidth="1"/>
    <col min="14093" max="14093" width="98" style="2" customWidth="1"/>
    <col min="14094" max="14094" width="16.109375" style="2" customWidth="1"/>
    <col min="14095" max="14095" width="2" style="2" customWidth="1"/>
    <col min="14096" max="14096" width="15.88671875" style="2" customWidth="1"/>
    <col min="14097" max="14097" width="2" style="2" customWidth="1"/>
    <col min="14098" max="14098" width="13.33203125" style="2" customWidth="1"/>
    <col min="14099" max="14099" width="2" style="2" customWidth="1"/>
    <col min="14100" max="14100" width="13.33203125" style="2" customWidth="1"/>
    <col min="14101" max="14101" width="2.33203125" style="2" customWidth="1"/>
    <col min="14102" max="14102" width="2.109375" style="2" customWidth="1"/>
    <col min="14103" max="14103" width="16.77734375" style="2" customWidth="1"/>
    <col min="14104" max="14104" width="13.77734375" style="2" customWidth="1"/>
    <col min="14105" max="14114" width="8.6640625" style="2" customWidth="1"/>
    <col min="14115" max="14115" width="20.77734375" style="2" customWidth="1"/>
    <col min="14116" max="14344" width="10.33203125" style="2"/>
    <col min="14345" max="14346" width="0" style="2" hidden="1" customWidth="1"/>
    <col min="14347" max="14347" width="7.6640625" style="2" customWidth="1"/>
    <col min="14348" max="14348" width="4.21875" style="2" customWidth="1"/>
    <col min="14349" max="14349" width="98" style="2" customWidth="1"/>
    <col min="14350" max="14350" width="16.109375" style="2" customWidth="1"/>
    <col min="14351" max="14351" width="2" style="2" customWidth="1"/>
    <col min="14352" max="14352" width="15.88671875" style="2" customWidth="1"/>
    <col min="14353" max="14353" width="2" style="2" customWidth="1"/>
    <col min="14354" max="14354" width="13.33203125" style="2" customWidth="1"/>
    <col min="14355" max="14355" width="2" style="2" customWidth="1"/>
    <col min="14356" max="14356" width="13.33203125" style="2" customWidth="1"/>
    <col min="14357" max="14357" width="2.33203125" style="2" customWidth="1"/>
    <col min="14358" max="14358" width="2.109375" style="2" customWidth="1"/>
    <col min="14359" max="14359" width="16.77734375" style="2" customWidth="1"/>
    <col min="14360" max="14360" width="13.77734375" style="2" customWidth="1"/>
    <col min="14361" max="14370" width="8.6640625" style="2" customWidth="1"/>
    <col min="14371" max="14371" width="20.77734375" style="2" customWidth="1"/>
    <col min="14372" max="14600" width="10.33203125" style="2"/>
    <col min="14601" max="14602" width="0" style="2" hidden="1" customWidth="1"/>
    <col min="14603" max="14603" width="7.6640625" style="2" customWidth="1"/>
    <col min="14604" max="14604" width="4.21875" style="2" customWidth="1"/>
    <col min="14605" max="14605" width="98" style="2" customWidth="1"/>
    <col min="14606" max="14606" width="16.109375" style="2" customWidth="1"/>
    <col min="14607" max="14607" width="2" style="2" customWidth="1"/>
    <col min="14608" max="14608" width="15.88671875" style="2" customWidth="1"/>
    <col min="14609" max="14609" width="2" style="2" customWidth="1"/>
    <col min="14610" max="14610" width="13.33203125" style="2" customWidth="1"/>
    <col min="14611" max="14611" width="2" style="2" customWidth="1"/>
    <col min="14612" max="14612" width="13.33203125" style="2" customWidth="1"/>
    <col min="14613" max="14613" width="2.33203125" style="2" customWidth="1"/>
    <col min="14614" max="14614" width="2.109375" style="2" customWidth="1"/>
    <col min="14615" max="14615" width="16.77734375" style="2" customWidth="1"/>
    <col min="14616" max="14616" width="13.77734375" style="2" customWidth="1"/>
    <col min="14617" max="14626" width="8.6640625" style="2" customWidth="1"/>
    <col min="14627" max="14627" width="20.77734375" style="2" customWidth="1"/>
    <col min="14628" max="14856" width="10.33203125" style="2"/>
    <col min="14857" max="14858" width="0" style="2" hidden="1" customWidth="1"/>
    <col min="14859" max="14859" width="7.6640625" style="2" customWidth="1"/>
    <col min="14860" max="14860" width="4.21875" style="2" customWidth="1"/>
    <col min="14861" max="14861" width="98" style="2" customWidth="1"/>
    <col min="14862" max="14862" width="16.109375" style="2" customWidth="1"/>
    <col min="14863" max="14863" width="2" style="2" customWidth="1"/>
    <col min="14864" max="14864" width="15.88671875" style="2" customWidth="1"/>
    <col min="14865" max="14865" width="2" style="2" customWidth="1"/>
    <col min="14866" max="14866" width="13.33203125" style="2" customWidth="1"/>
    <col min="14867" max="14867" width="2" style="2" customWidth="1"/>
    <col min="14868" max="14868" width="13.33203125" style="2" customWidth="1"/>
    <col min="14869" max="14869" width="2.33203125" style="2" customWidth="1"/>
    <col min="14870" max="14870" width="2.109375" style="2" customWidth="1"/>
    <col min="14871" max="14871" width="16.77734375" style="2" customWidth="1"/>
    <col min="14872" max="14872" width="13.77734375" style="2" customWidth="1"/>
    <col min="14873" max="14882" width="8.6640625" style="2" customWidth="1"/>
    <col min="14883" max="14883" width="20.77734375" style="2" customWidth="1"/>
    <col min="14884" max="15112" width="10.33203125" style="2"/>
    <col min="15113" max="15114" width="0" style="2" hidden="1" customWidth="1"/>
    <col min="15115" max="15115" width="7.6640625" style="2" customWidth="1"/>
    <col min="15116" max="15116" width="4.21875" style="2" customWidth="1"/>
    <col min="15117" max="15117" width="98" style="2" customWidth="1"/>
    <col min="15118" max="15118" width="16.109375" style="2" customWidth="1"/>
    <col min="15119" max="15119" width="2" style="2" customWidth="1"/>
    <col min="15120" max="15120" width="15.88671875" style="2" customWidth="1"/>
    <col min="15121" max="15121" width="2" style="2" customWidth="1"/>
    <col min="15122" max="15122" width="13.33203125" style="2" customWidth="1"/>
    <col min="15123" max="15123" width="2" style="2" customWidth="1"/>
    <col min="15124" max="15124" width="13.33203125" style="2" customWidth="1"/>
    <col min="15125" max="15125" width="2.33203125" style="2" customWidth="1"/>
    <col min="15126" max="15126" width="2.109375" style="2" customWidth="1"/>
    <col min="15127" max="15127" width="16.77734375" style="2" customWidth="1"/>
    <col min="15128" max="15128" width="13.77734375" style="2" customWidth="1"/>
    <col min="15129" max="15138" width="8.6640625" style="2" customWidth="1"/>
    <col min="15139" max="15139" width="20.77734375" style="2" customWidth="1"/>
    <col min="15140" max="15368" width="10.33203125" style="2"/>
    <col min="15369" max="15370" width="0" style="2" hidden="1" customWidth="1"/>
    <col min="15371" max="15371" width="7.6640625" style="2" customWidth="1"/>
    <col min="15372" max="15372" width="4.21875" style="2" customWidth="1"/>
    <col min="15373" max="15373" width="98" style="2" customWidth="1"/>
    <col min="15374" max="15374" width="16.109375" style="2" customWidth="1"/>
    <col min="15375" max="15375" width="2" style="2" customWidth="1"/>
    <col min="15376" max="15376" width="15.88671875" style="2" customWidth="1"/>
    <col min="15377" max="15377" width="2" style="2" customWidth="1"/>
    <col min="15378" max="15378" width="13.33203125" style="2" customWidth="1"/>
    <col min="15379" max="15379" width="2" style="2" customWidth="1"/>
    <col min="15380" max="15380" width="13.33203125" style="2" customWidth="1"/>
    <col min="15381" max="15381" width="2.33203125" style="2" customWidth="1"/>
    <col min="15382" max="15382" width="2.109375" style="2" customWidth="1"/>
    <col min="15383" max="15383" width="16.77734375" style="2" customWidth="1"/>
    <col min="15384" max="15384" width="13.77734375" style="2" customWidth="1"/>
    <col min="15385" max="15394" width="8.6640625" style="2" customWidth="1"/>
    <col min="15395" max="15395" width="20.77734375" style="2" customWidth="1"/>
    <col min="15396" max="15624" width="10.33203125" style="2"/>
    <col min="15625" max="15626" width="0" style="2" hidden="1" customWidth="1"/>
    <col min="15627" max="15627" width="7.6640625" style="2" customWidth="1"/>
    <col min="15628" max="15628" width="4.21875" style="2" customWidth="1"/>
    <col min="15629" max="15629" width="98" style="2" customWidth="1"/>
    <col min="15630" max="15630" width="16.109375" style="2" customWidth="1"/>
    <col min="15631" max="15631" width="2" style="2" customWidth="1"/>
    <col min="15632" max="15632" width="15.88671875" style="2" customWidth="1"/>
    <col min="15633" max="15633" width="2" style="2" customWidth="1"/>
    <col min="15634" max="15634" width="13.33203125" style="2" customWidth="1"/>
    <col min="15635" max="15635" width="2" style="2" customWidth="1"/>
    <col min="15636" max="15636" width="13.33203125" style="2" customWidth="1"/>
    <col min="15637" max="15637" width="2.33203125" style="2" customWidth="1"/>
    <col min="15638" max="15638" width="2.109375" style="2" customWidth="1"/>
    <col min="15639" max="15639" width="16.77734375" style="2" customWidth="1"/>
    <col min="15640" max="15640" width="13.77734375" style="2" customWidth="1"/>
    <col min="15641" max="15650" width="8.6640625" style="2" customWidth="1"/>
    <col min="15651" max="15651" width="20.77734375" style="2" customWidth="1"/>
    <col min="15652" max="15880" width="10.33203125" style="2"/>
    <col min="15881" max="15882" width="0" style="2" hidden="1" customWidth="1"/>
    <col min="15883" max="15883" width="7.6640625" style="2" customWidth="1"/>
    <col min="15884" max="15884" width="4.21875" style="2" customWidth="1"/>
    <col min="15885" max="15885" width="98" style="2" customWidth="1"/>
    <col min="15886" max="15886" width="16.109375" style="2" customWidth="1"/>
    <col min="15887" max="15887" width="2" style="2" customWidth="1"/>
    <col min="15888" max="15888" width="15.88671875" style="2" customWidth="1"/>
    <col min="15889" max="15889" width="2" style="2" customWidth="1"/>
    <col min="15890" max="15890" width="13.33203125" style="2" customWidth="1"/>
    <col min="15891" max="15891" width="2" style="2" customWidth="1"/>
    <col min="15892" max="15892" width="13.33203125" style="2" customWidth="1"/>
    <col min="15893" max="15893" width="2.33203125" style="2" customWidth="1"/>
    <col min="15894" max="15894" width="2.109375" style="2" customWidth="1"/>
    <col min="15895" max="15895" width="16.77734375" style="2" customWidth="1"/>
    <col min="15896" max="15896" width="13.77734375" style="2" customWidth="1"/>
    <col min="15897" max="15906" width="8.6640625" style="2" customWidth="1"/>
    <col min="15907" max="15907" width="20.77734375" style="2" customWidth="1"/>
    <col min="15908" max="16136" width="10.33203125" style="2"/>
    <col min="16137" max="16138" width="0" style="2" hidden="1" customWidth="1"/>
    <col min="16139" max="16139" width="7.6640625" style="2" customWidth="1"/>
    <col min="16140" max="16140" width="4.21875" style="2" customWidth="1"/>
    <col min="16141" max="16141" width="98" style="2" customWidth="1"/>
    <col min="16142" max="16142" width="16.109375" style="2" customWidth="1"/>
    <col min="16143" max="16143" width="2" style="2" customWidth="1"/>
    <col min="16144" max="16144" width="15.88671875" style="2" customWidth="1"/>
    <col min="16145" max="16145" width="2" style="2" customWidth="1"/>
    <col min="16146" max="16146" width="13.33203125" style="2" customWidth="1"/>
    <col min="16147" max="16147" width="2" style="2" customWidth="1"/>
    <col min="16148" max="16148" width="13.33203125" style="2" customWidth="1"/>
    <col min="16149" max="16149" width="2.33203125" style="2" customWidth="1"/>
    <col min="16150" max="16150" width="2.109375" style="2" customWidth="1"/>
    <col min="16151" max="16151" width="16.77734375" style="2" customWidth="1"/>
    <col min="16152" max="16152" width="13.77734375" style="2" customWidth="1"/>
    <col min="16153" max="16162" width="8.6640625" style="2" customWidth="1"/>
    <col min="16163" max="16163" width="20.77734375" style="2" customWidth="1"/>
    <col min="16164" max="16384" width="10.33203125" style="2"/>
  </cols>
  <sheetData>
    <row r="1" spans="1:23" ht="30">
      <c r="A1" s="18" t="e">
        <f>#REF!</f>
        <v>#REF!</v>
      </c>
      <c r="B1" s="48"/>
      <c r="C1" s="48"/>
      <c r="D1" s="48"/>
      <c r="E1" s="48"/>
      <c r="F1" s="18"/>
      <c r="G1" s="18"/>
      <c r="H1" s="18"/>
      <c r="I1" s="18"/>
      <c r="J1" s="18"/>
      <c r="K1" s="18"/>
      <c r="L1" s="18"/>
      <c r="M1" s="16"/>
      <c r="N1" s="19"/>
      <c r="O1" s="19"/>
      <c r="P1" s="19"/>
      <c r="Q1" s="19"/>
      <c r="R1" s="19"/>
      <c r="S1" s="19"/>
      <c r="T1" s="19"/>
      <c r="U1" s="19"/>
      <c r="V1" s="46"/>
      <c r="W1" s="46"/>
    </row>
    <row r="2" spans="1:23" ht="23.25">
      <c r="A2" s="47" t="s">
        <v>62</v>
      </c>
      <c r="B2" s="50"/>
      <c r="C2" s="50"/>
      <c r="D2" s="50"/>
      <c r="E2" s="50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S2" s="19"/>
      <c r="T2" s="19"/>
      <c r="U2" s="19"/>
      <c r="V2" s="46"/>
      <c r="W2" s="46"/>
    </row>
    <row r="3" spans="1:23" ht="23.25">
      <c r="A3" s="20" t="s">
        <v>63</v>
      </c>
      <c r="B3" s="50"/>
      <c r="C3" s="50"/>
      <c r="D3" s="50"/>
      <c r="E3" s="50"/>
      <c r="F3" s="20"/>
      <c r="G3" s="20"/>
      <c r="H3" s="20"/>
      <c r="I3" s="20"/>
      <c r="J3" s="20"/>
      <c r="K3" s="20"/>
      <c r="L3" s="20"/>
      <c r="M3" s="16"/>
      <c r="N3" s="20"/>
      <c r="O3" s="20"/>
      <c r="P3" s="20"/>
      <c r="Q3" s="20"/>
      <c r="R3" s="20"/>
      <c r="S3" s="19"/>
      <c r="T3" s="19"/>
      <c r="U3" s="19"/>
      <c r="V3" s="46"/>
      <c r="W3" s="46"/>
    </row>
    <row r="4" spans="1:23" ht="23.25">
      <c r="A4" s="20" t="e">
        <f>#REF!</f>
        <v>#REF!</v>
      </c>
      <c r="B4" s="50"/>
      <c r="C4" s="50"/>
      <c r="D4" s="50"/>
      <c r="E4" s="50"/>
      <c r="F4" s="20"/>
      <c r="G4" s="20"/>
      <c r="H4" s="20"/>
      <c r="I4" s="20"/>
      <c r="J4" s="20"/>
      <c r="K4" s="20"/>
      <c r="L4" s="20"/>
      <c r="M4" s="16"/>
      <c r="N4" s="25"/>
      <c r="O4" s="25"/>
      <c r="P4" s="25"/>
      <c r="Q4" s="19"/>
      <c r="R4" s="19"/>
      <c r="S4" s="19"/>
      <c r="T4" s="19"/>
      <c r="U4" s="19"/>
      <c r="V4" s="46"/>
      <c r="W4" s="46"/>
    </row>
    <row r="5" spans="1:23" ht="29.25" customHeight="1">
      <c r="A5" s="16"/>
      <c r="B5" s="49"/>
      <c r="C5" s="49"/>
      <c r="D5" s="49"/>
      <c r="E5" s="49"/>
      <c r="F5" s="16"/>
      <c r="G5" s="16"/>
      <c r="H5" s="16"/>
      <c r="I5" s="16"/>
      <c r="J5" s="16"/>
      <c r="K5" s="16"/>
      <c r="L5" s="16"/>
      <c r="M5" s="16"/>
      <c r="N5" s="16"/>
      <c r="Q5" s="2"/>
    </row>
    <row r="6" spans="1:23" s="6" customFormat="1" ht="33.75" customHeight="1">
      <c r="A6" s="14"/>
      <c r="B6" s="51" t="s">
        <v>64</v>
      </c>
      <c r="C6" s="51" t="s">
        <v>65</v>
      </c>
      <c r="D6" s="51" t="s">
        <v>66</v>
      </c>
      <c r="E6" s="51" t="s">
        <v>67</v>
      </c>
      <c r="F6" s="14"/>
      <c r="G6" s="14"/>
      <c r="H6" s="14"/>
      <c r="I6" s="14"/>
      <c r="J6" s="14"/>
      <c r="K6" s="14"/>
      <c r="L6" s="14"/>
      <c r="M6" s="14"/>
      <c r="N6" s="14"/>
      <c r="V6" s="45"/>
      <c r="W6" s="45"/>
    </row>
    <row r="7" spans="1:23" ht="20.25">
      <c r="A7" s="17" t="s">
        <v>68</v>
      </c>
      <c r="B7" s="49"/>
      <c r="C7" s="49"/>
      <c r="D7" s="49"/>
      <c r="E7" s="49"/>
      <c r="F7" s="16"/>
      <c r="G7" s="16"/>
      <c r="H7" s="16"/>
      <c r="I7" s="16"/>
      <c r="J7" s="16"/>
      <c r="K7" s="16"/>
      <c r="L7" s="16"/>
      <c r="M7" s="16"/>
      <c r="N7" s="16"/>
      <c r="Q7" s="2"/>
      <c r="V7" s="44"/>
      <c r="W7" s="44"/>
    </row>
    <row r="8" spans="1:23" s="7" customFormat="1" ht="18">
      <c r="A8" s="14" t="s">
        <v>69</v>
      </c>
      <c r="B8" s="52">
        <v>175000</v>
      </c>
      <c r="C8" s="52">
        <v>100000</v>
      </c>
      <c r="D8" s="52">
        <v>175000</v>
      </c>
      <c r="E8" s="52">
        <v>175000</v>
      </c>
      <c r="F8" s="22"/>
      <c r="G8" s="43"/>
      <c r="H8" s="43"/>
      <c r="I8" s="43"/>
      <c r="J8" s="43"/>
      <c r="K8" s="43"/>
      <c r="L8" s="43"/>
      <c r="M8" s="43"/>
      <c r="N8" s="43"/>
      <c r="V8" s="8"/>
      <c r="W8" s="8"/>
    </row>
    <row r="9" spans="1:23" ht="18">
      <c r="A9" s="14" t="s">
        <v>70</v>
      </c>
      <c r="B9" s="52">
        <v>70000</v>
      </c>
      <c r="C9" s="52" t="s">
        <v>46</v>
      </c>
      <c r="D9" s="52">
        <v>70000</v>
      </c>
      <c r="E9" s="52">
        <v>70000</v>
      </c>
      <c r="F9" s="22"/>
      <c r="G9" s="16"/>
      <c r="H9" s="16"/>
      <c r="I9" s="16"/>
      <c r="J9" s="16"/>
      <c r="K9" s="16"/>
      <c r="L9" s="16"/>
      <c r="M9" s="16"/>
      <c r="N9" s="16"/>
      <c r="Q9" s="2"/>
      <c r="V9" s="35"/>
      <c r="W9" s="35"/>
    </row>
    <row r="10" spans="1:23" ht="18">
      <c r="A10" s="14"/>
      <c r="B10" s="52"/>
      <c r="C10" s="52"/>
      <c r="D10" s="52"/>
      <c r="E10" s="52"/>
      <c r="F10" s="22"/>
      <c r="G10" s="16"/>
      <c r="H10" s="16"/>
      <c r="I10" s="16"/>
      <c r="J10" s="16"/>
      <c r="K10" s="16"/>
      <c r="L10" s="16"/>
      <c r="M10" s="16"/>
      <c r="N10" s="16"/>
      <c r="Q10" s="2"/>
      <c r="V10" s="35"/>
      <c r="W10" s="35"/>
    </row>
    <row r="11" spans="1:23" ht="9" customHeight="1">
      <c r="A11" s="16"/>
      <c r="B11" s="52"/>
      <c r="C11" s="52"/>
      <c r="D11" s="52"/>
      <c r="E11" s="52"/>
      <c r="F11" s="22"/>
      <c r="G11" s="16"/>
      <c r="H11" s="16"/>
      <c r="I11" s="16"/>
      <c r="J11" s="16"/>
      <c r="K11" s="16"/>
      <c r="L11" s="16"/>
      <c r="M11" s="16"/>
      <c r="N11" s="16"/>
      <c r="Q11" s="2"/>
      <c r="V11" s="8"/>
      <c r="W11" s="8"/>
    </row>
    <row r="12" spans="1:23" ht="20.25">
      <c r="A12" s="17" t="s">
        <v>53</v>
      </c>
      <c r="B12" s="52"/>
      <c r="C12" s="52"/>
      <c r="D12" s="52"/>
      <c r="E12" s="52"/>
      <c r="F12" s="22"/>
      <c r="G12" s="16"/>
      <c r="H12" s="16"/>
      <c r="I12" s="16"/>
      <c r="J12" s="16"/>
      <c r="K12" s="16"/>
      <c r="L12" s="16"/>
      <c r="M12" s="16"/>
      <c r="N12" s="16"/>
      <c r="Q12" s="2"/>
      <c r="V12" s="42"/>
      <c r="W12" s="41"/>
    </row>
    <row r="13" spans="1:23" ht="18">
      <c r="A13" s="403" t="s">
        <v>54</v>
      </c>
      <c r="B13" s="404" t="e">
        <f>#REF!</f>
        <v>#REF!</v>
      </c>
      <c r="C13" s="404" t="e">
        <f>#REF!</f>
        <v>#REF!</v>
      </c>
      <c r="D13" s="404" t="e">
        <f>#REF!</f>
        <v>#REF!</v>
      </c>
      <c r="E13" s="404" t="e">
        <f>#REF!</f>
        <v>#REF!</v>
      </c>
      <c r="F13" s="22"/>
      <c r="G13" s="16"/>
      <c r="H13" s="16"/>
      <c r="I13" s="16"/>
      <c r="J13" s="16"/>
      <c r="K13" s="16"/>
      <c r="L13" s="16"/>
      <c r="M13" s="16"/>
      <c r="N13" s="16"/>
      <c r="Q13" s="2"/>
      <c r="V13" s="10"/>
    </row>
    <row r="14" spans="1:23" s="8" customFormat="1" ht="18">
      <c r="A14" s="14" t="s">
        <v>55</v>
      </c>
      <c r="B14" s="53" t="e">
        <f>#REF!</f>
        <v>#REF!</v>
      </c>
      <c r="C14" s="53" t="s">
        <v>46</v>
      </c>
      <c r="D14" s="53" t="e">
        <f>#REF!</f>
        <v>#REF!</v>
      </c>
      <c r="E14" s="53" t="e">
        <f>#REF!</f>
        <v>#REF!</v>
      </c>
      <c r="F14" s="22"/>
      <c r="G14" s="40"/>
      <c r="H14" s="40"/>
      <c r="I14" s="40"/>
      <c r="J14" s="40"/>
      <c r="K14" s="40"/>
      <c r="L14" s="40"/>
      <c r="M14" s="40"/>
      <c r="N14" s="40"/>
      <c r="V14" s="38"/>
    </row>
    <row r="15" spans="1:23" s="8" customFormat="1" ht="18">
      <c r="A15" s="14" t="s">
        <v>56</v>
      </c>
      <c r="B15" s="53" t="e">
        <f>#REF!</f>
        <v>#REF!</v>
      </c>
      <c r="C15" s="53" t="s">
        <v>46</v>
      </c>
      <c r="D15" s="53" t="e">
        <f>#REF!</f>
        <v>#REF!</v>
      </c>
      <c r="E15" s="53" t="e">
        <f>#REF!</f>
        <v>#REF!</v>
      </c>
      <c r="F15" s="22"/>
      <c r="G15" s="40"/>
      <c r="H15" s="40"/>
      <c r="I15" s="40"/>
      <c r="J15" s="40"/>
      <c r="K15" s="40"/>
      <c r="L15" s="40"/>
      <c r="M15" s="40"/>
      <c r="N15" s="40"/>
    </row>
    <row r="16" spans="1:23" ht="18">
      <c r="A16" s="14" t="s">
        <v>57</v>
      </c>
      <c r="B16" s="53" t="e">
        <f>#REF!</f>
        <v>#REF!</v>
      </c>
      <c r="C16" s="53" t="s">
        <v>46</v>
      </c>
      <c r="D16" s="53" t="e">
        <f>#REF!</f>
        <v>#REF!</v>
      </c>
      <c r="E16" s="53" t="e">
        <f>#REF!</f>
        <v>#REF!</v>
      </c>
      <c r="F16" s="22"/>
      <c r="G16" s="16"/>
      <c r="H16" s="16"/>
      <c r="I16" s="16"/>
      <c r="J16" s="16"/>
      <c r="K16" s="16"/>
      <c r="L16" s="16"/>
      <c r="M16" s="16"/>
      <c r="N16" s="16"/>
      <c r="Q16" s="2"/>
      <c r="V16" s="12"/>
    </row>
    <row r="17" spans="1:36" ht="15.75">
      <c r="A17" s="16"/>
      <c r="B17" s="49"/>
      <c r="C17" s="49"/>
      <c r="D17" s="49"/>
      <c r="E17" s="49"/>
      <c r="F17" s="16"/>
      <c r="G17" s="16"/>
      <c r="H17" s="16"/>
      <c r="I17" s="16"/>
      <c r="J17" s="16"/>
      <c r="K17" s="16"/>
      <c r="L17" s="16"/>
      <c r="M17" s="16"/>
      <c r="N17" s="16"/>
      <c r="Q17" s="2"/>
      <c r="V17" s="34"/>
      <c r="W17" s="34"/>
      <c r="X17" s="12"/>
    </row>
    <row r="18" spans="1:36" ht="18">
      <c r="A18" s="14" t="s">
        <v>71</v>
      </c>
      <c r="B18" s="63" t="e">
        <f ca="1">((#REF!-#REF!))*((SUM(OFFSET('Medical &amp; Rx Total'!$B$7,COUNT('Medical &amp; Rx Total'!$B$8:$B$30),0,-1)))*12)</f>
        <v>#REF!</v>
      </c>
      <c r="C18" s="63" t="e">
        <f ca="1">((#REF!-#REF!))*((SUM(OFFSET('Medical &amp; Rx Total'!$B$7,COUNT('Medical &amp; Rx Total'!$B$8:$B$30),0,-1)))*12)</f>
        <v>#REF!</v>
      </c>
      <c r="D18" s="63" t="e">
        <f ca="1">((#REF!-#REF!))*((SUM(OFFSET('Medical &amp; Rx Total'!$B$7,COUNT('Medical &amp; Rx Total'!$B$8:$B$30),0,-1)))*12)</f>
        <v>#REF!</v>
      </c>
      <c r="E18" s="63" t="e">
        <f ca="1">((#REF!-#REF!))*((SUM(OFFSET('Medical &amp; Rx Total'!$B$7,COUNT('Medical &amp; Rx Total'!$B$8:$B$30),0,-1)))*12)</f>
        <v>#REF!</v>
      </c>
      <c r="F18" s="65"/>
      <c r="G18" s="16"/>
      <c r="H18" s="16"/>
      <c r="I18" s="16"/>
      <c r="J18" s="16"/>
      <c r="K18" s="16"/>
      <c r="L18" s="16"/>
      <c r="M18" s="16"/>
      <c r="N18" s="16"/>
      <c r="Q18" s="2"/>
      <c r="V18" s="8"/>
      <c r="W18" s="8"/>
      <c r="AJ18" s="5"/>
    </row>
    <row r="19" spans="1:36" ht="18">
      <c r="A19" s="14"/>
      <c r="B19" s="63"/>
      <c r="C19" s="63"/>
      <c r="D19" s="63"/>
      <c r="E19" s="63"/>
      <c r="F19" s="65"/>
      <c r="G19" s="16"/>
      <c r="H19" s="16"/>
      <c r="I19" s="16"/>
      <c r="J19" s="16"/>
      <c r="K19" s="16"/>
      <c r="L19" s="16"/>
      <c r="M19" s="16"/>
      <c r="N19" s="16"/>
      <c r="Q19" s="2"/>
      <c r="V19" s="8"/>
      <c r="W19" s="8"/>
      <c r="AJ19" s="5"/>
    </row>
    <row r="20" spans="1:36" ht="18">
      <c r="A20" s="14"/>
      <c r="B20" s="63"/>
      <c r="C20" s="63"/>
      <c r="D20" s="63"/>
      <c r="E20" s="63"/>
      <c r="F20" s="65"/>
      <c r="G20" s="16"/>
      <c r="H20" s="16"/>
      <c r="I20" s="16"/>
      <c r="J20" s="16"/>
      <c r="K20" s="16"/>
      <c r="L20" s="16"/>
      <c r="M20" s="16"/>
      <c r="N20" s="16"/>
      <c r="Q20" s="2"/>
      <c r="V20" s="8"/>
      <c r="W20" s="8"/>
      <c r="AJ20" s="5"/>
    </row>
    <row r="21" spans="1:36" ht="19.7" customHeight="1">
      <c r="A21" s="17" t="s">
        <v>51</v>
      </c>
      <c r="B21" s="30"/>
      <c r="C21" s="30"/>
      <c r="Q21" s="2"/>
    </row>
    <row r="22" spans="1:36" ht="19.7" customHeight="1">
      <c r="A22" s="13" t="s">
        <v>72</v>
      </c>
      <c r="B22" s="117" t="e">
        <f>#REF!</f>
        <v>#REF!</v>
      </c>
      <c r="C22" s="117" t="e">
        <f>#REF!</f>
        <v>#REF!</v>
      </c>
      <c r="D22" s="117" t="e">
        <f>#REF!</f>
        <v>#REF!</v>
      </c>
      <c r="E22" s="117" t="e">
        <f>#REF!</f>
        <v>#REF!</v>
      </c>
      <c r="Q22" s="2"/>
    </row>
    <row r="23" spans="1:36" ht="18">
      <c r="A23" s="13" t="s">
        <v>73</v>
      </c>
      <c r="B23" s="66" t="e">
        <f>#REF!+#REF!+#REF!</f>
        <v>#REF!</v>
      </c>
      <c r="C23" s="66" t="e">
        <f>#REF!+#REF!+#REF!+#REF!+#REF!</f>
        <v>#REF!</v>
      </c>
      <c r="D23" s="66" t="e">
        <f>#REF!+#REF!+#REF!</f>
        <v>#REF!</v>
      </c>
      <c r="E23" s="66" t="e">
        <f>#REF!+#REF!+#REF!</f>
        <v>#REF!</v>
      </c>
      <c r="Q23" s="2"/>
    </row>
    <row r="24" spans="1:36" ht="18">
      <c r="A24" s="13" t="s">
        <v>74</v>
      </c>
      <c r="B24" s="66" t="e">
        <f>#REF!</f>
        <v>#REF!</v>
      </c>
      <c r="C24" s="66" t="e">
        <f>#REF!</f>
        <v>#REF!</v>
      </c>
      <c r="D24" s="66" t="e">
        <f>#REF!</f>
        <v>#REF!</v>
      </c>
      <c r="E24" s="66" t="e">
        <f>#REF!</f>
        <v>#REF!</v>
      </c>
      <c r="Q24" s="2"/>
    </row>
    <row r="25" spans="1:36" ht="18">
      <c r="A25" s="15" t="s">
        <v>49</v>
      </c>
      <c r="B25" s="66" t="e">
        <f>#REF!</f>
        <v>#REF!</v>
      </c>
      <c r="C25" s="66" t="e">
        <f>#REF!</f>
        <v>#REF!</v>
      </c>
      <c r="D25" s="66" t="e">
        <f>#REF!</f>
        <v>#REF!</v>
      </c>
      <c r="E25" s="66" t="e">
        <f>#REF!</f>
        <v>#REF!</v>
      </c>
      <c r="Q25" s="2"/>
    </row>
    <row r="26" spans="1:36" ht="18">
      <c r="A26" s="15" t="s">
        <v>48</v>
      </c>
      <c r="B26" s="66" t="e">
        <f>#REF!</f>
        <v>#REF!</v>
      </c>
      <c r="C26" s="66" t="e">
        <f>#REF!</f>
        <v>#REF!</v>
      </c>
      <c r="D26" s="66" t="e">
        <f>#REF!</f>
        <v>#REF!</v>
      </c>
      <c r="E26" s="66" t="e">
        <f>#REF!</f>
        <v>#REF!</v>
      </c>
      <c r="Q26" s="2"/>
    </row>
    <row r="27" spans="1:36" ht="18">
      <c r="A27" s="13" t="s">
        <v>75</v>
      </c>
      <c r="B27" s="66" t="e">
        <f>#REF!</f>
        <v>#REF!</v>
      </c>
      <c r="C27" s="66" t="e">
        <f>#REF!</f>
        <v>#REF!</v>
      </c>
      <c r="D27" s="66" t="e">
        <f>#REF!</f>
        <v>#REF!</v>
      </c>
      <c r="E27" s="66" t="e">
        <f>#REF!</f>
        <v>#REF!</v>
      </c>
      <c r="Q27" s="2"/>
    </row>
    <row r="28" spans="1:36" ht="18">
      <c r="A28" s="403" t="s">
        <v>76</v>
      </c>
      <c r="B28" s="464" t="e">
        <f>SUM(B22:B27)</f>
        <v>#REF!</v>
      </c>
      <c r="C28" s="464" t="e">
        <f>SUM(C22:C27)</f>
        <v>#REF!</v>
      </c>
      <c r="D28" s="464" t="e">
        <f>SUM(D22:D27)</f>
        <v>#REF!</v>
      </c>
      <c r="E28" s="464" t="e">
        <f>SUM(E22:E27)</f>
        <v>#REF!</v>
      </c>
      <c r="Q28" s="2"/>
    </row>
    <row r="29" spans="1:36" ht="18">
      <c r="A29" s="13"/>
      <c r="B29" s="62"/>
      <c r="C29" s="62"/>
      <c r="D29" s="62"/>
      <c r="E29" s="62"/>
      <c r="Q29" s="2"/>
    </row>
    <row r="30" spans="1:36" s="8" customFormat="1">
      <c r="A30" s="37"/>
      <c r="B30" s="37"/>
      <c r="C30" s="37"/>
      <c r="D30" s="37"/>
      <c r="E30" s="37"/>
      <c r="F30" s="37"/>
      <c r="G30" s="37"/>
      <c r="H30" s="11"/>
      <c r="I30" s="11"/>
      <c r="J30" s="11"/>
      <c r="K30" s="11"/>
      <c r="L30" s="11"/>
      <c r="V30" s="39"/>
      <c r="W30" s="39"/>
      <c r="X30" s="2"/>
    </row>
    <row r="31" spans="1:36" s="8" customFormat="1" ht="18">
      <c r="A31" s="23" t="s">
        <v>52</v>
      </c>
      <c r="B31" s="61" t="e">
        <f>#REF!</f>
        <v>#REF!</v>
      </c>
      <c r="C31" s="61"/>
      <c r="D31" s="37"/>
      <c r="E31" s="37"/>
      <c r="F31" s="37"/>
      <c r="G31" s="37"/>
      <c r="H31" s="11"/>
      <c r="I31" s="11"/>
      <c r="J31" s="11"/>
      <c r="K31" s="11"/>
      <c r="L31" s="11"/>
      <c r="X31" s="38"/>
    </row>
    <row r="32" spans="1:36" s="8" customFormat="1">
      <c r="A32" s="37"/>
      <c r="B32" s="37"/>
      <c r="C32" s="37"/>
      <c r="D32" s="37"/>
      <c r="E32" s="37"/>
      <c r="F32" s="37"/>
      <c r="G32" s="37"/>
      <c r="H32" s="11"/>
      <c r="I32" s="11"/>
      <c r="J32" s="11"/>
      <c r="K32" s="11"/>
      <c r="L32" s="11"/>
      <c r="X32" s="38"/>
    </row>
    <row r="33" spans="1:34" s="8" customFormat="1">
      <c r="A33" s="37"/>
      <c r="B33" s="37"/>
      <c r="C33" s="37"/>
      <c r="D33" s="37"/>
      <c r="E33" s="37"/>
      <c r="F33" s="37"/>
      <c r="G33" s="37"/>
      <c r="H33" s="11"/>
      <c r="I33" s="11"/>
      <c r="J33" s="11"/>
      <c r="K33" s="11"/>
      <c r="L33" s="11"/>
      <c r="V33" s="7"/>
      <c r="W33" s="7"/>
      <c r="X33" s="2"/>
    </row>
    <row r="34" spans="1: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Q34" s="2"/>
      <c r="V34" s="36"/>
      <c r="W34" s="35"/>
      <c r="X34" s="7"/>
      <c r="AH34" s="2" t="s">
        <v>20</v>
      </c>
    </row>
    <row r="35" spans="1:34" s="5" customFormat="1" ht="17.45" customHeight="1">
      <c r="A35" s="9"/>
      <c r="B35" s="54"/>
      <c r="C35" s="54"/>
      <c r="D35" s="54"/>
      <c r="E35" s="54"/>
      <c r="F35" s="9"/>
      <c r="G35" s="9"/>
      <c r="H35" s="9"/>
      <c r="I35" s="9"/>
      <c r="J35" s="9"/>
      <c r="K35" s="9"/>
      <c r="L35" s="9"/>
      <c r="V35" s="34"/>
      <c r="W35" s="34"/>
      <c r="X35" s="33"/>
      <c r="Y35" s="27"/>
      <c r="Z35" s="27"/>
    </row>
    <row r="36" spans="1:34">
      <c r="Q36" s="2"/>
    </row>
    <row r="37" spans="1:34">
      <c r="Q37" s="2"/>
    </row>
    <row r="38" spans="1:34">
      <c r="A38" s="32"/>
      <c r="Q38" s="2"/>
    </row>
    <row r="39" spans="1:34">
      <c r="A39" s="32"/>
      <c r="Q39" s="2"/>
    </row>
    <row r="40" spans="1:34">
      <c r="A40" s="32"/>
      <c r="Q40" s="2"/>
    </row>
    <row r="41" spans="1:34">
      <c r="A41" s="32"/>
      <c r="Q41" s="2"/>
    </row>
    <row r="42" spans="1:34">
      <c r="Q42" s="2"/>
    </row>
    <row r="43" spans="1:34">
      <c r="A43" s="299"/>
      <c r="F43" s="55"/>
      <c r="Q43" s="2"/>
    </row>
    <row r="44" spans="1:34">
      <c r="A44" s="32"/>
      <c r="D44" s="56"/>
      <c r="E44" s="56"/>
      <c r="F44" s="56"/>
      <c r="Q44" s="2"/>
    </row>
    <row r="45" spans="1:34">
      <c r="A45" s="32"/>
      <c r="D45" s="56"/>
      <c r="E45" s="56"/>
      <c r="F45" s="56"/>
      <c r="Q45" s="2"/>
    </row>
    <row r="46" spans="1:34">
      <c r="A46" s="32"/>
      <c r="B46" s="300"/>
      <c r="C46" s="300"/>
      <c r="D46" s="56"/>
      <c r="E46" s="56"/>
      <c r="F46" s="56"/>
      <c r="Q46" s="2"/>
    </row>
    <row r="47" spans="1:34">
      <c r="A47" s="32"/>
      <c r="B47" s="300"/>
      <c r="C47" s="300"/>
      <c r="D47" s="64"/>
      <c r="E47" s="64"/>
      <c r="F47" s="64"/>
      <c r="Q47" s="2"/>
    </row>
    <row r="48" spans="1:34">
      <c r="Q48" s="2"/>
    </row>
    <row r="49" spans="6:17">
      <c r="F49" s="56"/>
      <c r="Q49" s="2"/>
    </row>
    <row r="50" spans="6:17">
      <c r="F50" s="56"/>
      <c r="Q50" s="2"/>
    </row>
    <row r="51" spans="6:17">
      <c r="F51" s="56"/>
      <c r="Q51" s="2"/>
    </row>
    <row r="52" spans="6:17">
      <c r="Q52" s="2"/>
    </row>
    <row r="53" spans="6:17">
      <c r="Q53" s="2"/>
    </row>
    <row r="54" spans="6:17">
      <c r="Q54" s="2"/>
    </row>
    <row r="55" spans="6:17">
      <c r="Q55" s="2"/>
    </row>
    <row r="56" spans="6:17">
      <c r="Q56" s="2"/>
    </row>
    <row r="57" spans="6:17">
      <c r="Q57" s="2"/>
    </row>
    <row r="58" spans="6:17">
      <c r="Q58" s="2"/>
    </row>
    <row r="59" spans="6:17">
      <c r="Q59" s="2"/>
    </row>
    <row r="60" spans="6:17">
      <c r="Q60" s="2"/>
    </row>
    <row r="61" spans="6:17">
      <c r="Q61" s="2"/>
    </row>
    <row r="62" spans="6:17">
      <c r="Q62" s="2"/>
    </row>
    <row r="63" spans="6:17">
      <c r="Q63" s="2"/>
    </row>
    <row r="64" spans="6:17">
      <c r="Q64" s="2"/>
    </row>
    <row r="65" spans="17:17">
      <c r="Q65" s="2"/>
    </row>
    <row r="66" spans="17:17">
      <c r="Q66" s="2"/>
    </row>
    <row r="67" spans="17:17">
      <c r="Q67" s="2"/>
    </row>
    <row r="68" spans="17:17">
      <c r="Q68" s="2"/>
    </row>
    <row r="69" spans="17:17">
      <c r="Q69" s="2"/>
    </row>
    <row r="70" spans="17:17">
      <c r="Q70" s="2"/>
    </row>
    <row r="71" spans="17:17">
      <c r="Q71" s="2"/>
    </row>
    <row r="72" spans="17:17">
      <c r="Q72" s="2"/>
    </row>
    <row r="73" spans="17:17">
      <c r="Q73" s="2"/>
    </row>
    <row r="74" spans="17:17">
      <c r="Q74" s="2"/>
    </row>
    <row r="75" spans="17:17">
      <c r="Q75" s="2"/>
    </row>
    <row r="76" spans="17:17">
      <c r="Q76" s="2"/>
    </row>
    <row r="77" spans="17:17">
      <c r="Q77" s="2"/>
    </row>
    <row r="78" spans="17:17">
      <c r="Q78" s="2"/>
    </row>
    <row r="79" spans="17:17">
      <c r="Q79" s="2"/>
    </row>
    <row r="80" spans="17:17">
      <c r="Q80" s="2"/>
    </row>
    <row r="81" spans="17:17">
      <c r="Q81" s="2"/>
    </row>
    <row r="82" spans="17:17">
      <c r="Q82" s="2"/>
    </row>
    <row r="83" spans="17:17">
      <c r="Q83" s="2"/>
    </row>
    <row r="84" spans="17:17">
      <c r="Q84" s="2"/>
    </row>
    <row r="85" spans="17:17">
      <c r="Q85" s="2"/>
    </row>
    <row r="86" spans="17:17">
      <c r="Q86" s="2"/>
    </row>
    <row r="87" spans="17:17">
      <c r="Q87" s="2"/>
    </row>
    <row r="88" spans="17:17">
      <c r="Q88" s="2"/>
    </row>
    <row r="89" spans="17:17">
      <c r="Q89" s="2"/>
    </row>
    <row r="90" spans="17:17">
      <c r="Q90" s="2"/>
    </row>
    <row r="91" spans="17:17">
      <c r="Q91" s="2"/>
    </row>
    <row r="92" spans="17:17">
      <c r="Q92" s="2"/>
    </row>
    <row r="93" spans="17:17">
      <c r="Q93" s="2"/>
    </row>
    <row r="94" spans="17:17">
      <c r="Q94" s="2"/>
    </row>
    <row r="95" spans="17:17">
      <c r="Q95" s="2"/>
    </row>
    <row r="96" spans="17:17">
      <c r="Q96" s="2"/>
    </row>
    <row r="97" spans="17:17">
      <c r="Q97" s="2"/>
    </row>
    <row r="98" spans="17:17">
      <c r="Q98" s="2"/>
    </row>
    <row r="99" spans="17:17">
      <c r="Q99" s="2"/>
    </row>
    <row r="100" spans="17:17">
      <c r="Q100" s="2"/>
    </row>
    <row r="101" spans="17:17">
      <c r="Q101" s="2"/>
    </row>
    <row r="102" spans="17:17">
      <c r="Q102" s="2"/>
    </row>
    <row r="103" spans="17:17">
      <c r="Q103" s="2"/>
    </row>
    <row r="104" spans="17:17">
      <c r="Q104" s="2"/>
    </row>
    <row r="105" spans="17:17">
      <c r="Q105" s="2"/>
    </row>
    <row r="106" spans="17:17">
      <c r="Q106" s="2"/>
    </row>
    <row r="107" spans="17:17">
      <c r="Q107" s="2"/>
    </row>
    <row r="108" spans="17:17">
      <c r="Q108" s="2"/>
    </row>
    <row r="109" spans="17:17">
      <c r="Q109" s="2"/>
    </row>
    <row r="110" spans="17:17">
      <c r="Q110" s="2"/>
    </row>
    <row r="111" spans="17:17">
      <c r="Q111" s="2"/>
    </row>
    <row r="112" spans="17:17">
      <c r="Q112" s="2"/>
    </row>
    <row r="113" spans="17:17">
      <c r="Q113" s="2"/>
    </row>
    <row r="114" spans="17:17">
      <c r="Q114" s="2"/>
    </row>
    <row r="115" spans="17:17">
      <c r="Q115" s="2"/>
    </row>
    <row r="116" spans="17:17">
      <c r="Q116" s="2"/>
    </row>
    <row r="117" spans="17:17">
      <c r="Q117" s="2"/>
    </row>
    <row r="118" spans="17:17">
      <c r="Q118" s="2"/>
    </row>
    <row r="119" spans="17:17">
      <c r="Q119" s="2"/>
    </row>
    <row r="120" spans="17:17">
      <c r="Q120" s="2"/>
    </row>
    <row r="121" spans="17:17">
      <c r="Q121" s="2"/>
    </row>
    <row r="122" spans="17:17">
      <c r="Q122" s="2"/>
    </row>
    <row r="123" spans="17:17">
      <c r="Q123" s="2"/>
    </row>
    <row r="124" spans="17:17">
      <c r="Q124" s="2"/>
    </row>
    <row r="125" spans="17:17">
      <c r="Q125" s="2"/>
    </row>
    <row r="126" spans="17:17">
      <c r="Q126" s="2"/>
    </row>
    <row r="127" spans="17:17">
      <c r="Q127" s="2"/>
    </row>
    <row r="128" spans="17:17">
      <c r="Q128" s="2"/>
    </row>
    <row r="129" spans="17:17">
      <c r="Q129" s="2"/>
    </row>
    <row r="130" spans="17:17">
      <c r="Q130" s="2"/>
    </row>
    <row r="131" spans="17:17">
      <c r="Q131" s="2"/>
    </row>
    <row r="132" spans="17:17">
      <c r="Q132" s="2"/>
    </row>
    <row r="133" spans="17:17">
      <c r="Q133" s="2"/>
    </row>
    <row r="134" spans="17:17">
      <c r="Q134" s="2"/>
    </row>
    <row r="135" spans="17:17">
      <c r="Q135" s="2"/>
    </row>
    <row r="136" spans="17:17">
      <c r="Q136" s="2"/>
    </row>
    <row r="137" spans="17:17">
      <c r="Q137" s="2"/>
    </row>
    <row r="138" spans="17:17">
      <c r="Q138" s="2"/>
    </row>
    <row r="139" spans="17:17">
      <c r="Q139" s="2"/>
    </row>
    <row r="140" spans="17:17">
      <c r="Q140" s="2"/>
    </row>
    <row r="141" spans="17:17">
      <c r="Q141" s="2"/>
    </row>
    <row r="142" spans="17:17">
      <c r="Q142" s="2"/>
    </row>
    <row r="143" spans="17:17">
      <c r="Q143" s="2"/>
    </row>
    <row r="144" spans="17:17">
      <c r="Q144" s="2"/>
    </row>
    <row r="145" spans="17:17">
      <c r="Q145" s="2"/>
    </row>
    <row r="146" spans="17:17">
      <c r="Q146" s="2"/>
    </row>
    <row r="147" spans="17:17">
      <c r="Q147" s="2"/>
    </row>
    <row r="148" spans="17:17">
      <c r="Q148" s="2"/>
    </row>
    <row r="149" spans="17:17">
      <c r="Q149" s="2"/>
    </row>
    <row r="150" spans="17:17">
      <c r="Q150" s="2"/>
    </row>
    <row r="151" spans="17:17">
      <c r="Q151" s="2"/>
    </row>
    <row r="152" spans="17:17">
      <c r="Q152" s="2"/>
    </row>
    <row r="153" spans="17:17">
      <c r="Q153" s="2"/>
    </row>
    <row r="154" spans="17:17">
      <c r="Q154" s="2"/>
    </row>
    <row r="155" spans="17:17">
      <c r="Q155" s="2"/>
    </row>
    <row r="156" spans="17:17">
      <c r="Q156" s="2"/>
    </row>
    <row r="157" spans="17:17">
      <c r="Q157" s="2"/>
    </row>
    <row r="158" spans="17:17">
      <c r="Q158" s="2"/>
    </row>
    <row r="159" spans="17:17">
      <c r="Q159" s="2"/>
    </row>
    <row r="160" spans="17:17">
      <c r="Q160" s="2"/>
    </row>
    <row r="161" spans="17:17">
      <c r="Q161" s="2"/>
    </row>
    <row r="162" spans="17:17">
      <c r="Q162" s="2"/>
    </row>
    <row r="163" spans="17:17">
      <c r="Q163" s="2"/>
    </row>
    <row r="164" spans="17:17">
      <c r="Q164" s="2"/>
    </row>
    <row r="165" spans="17:17">
      <c r="Q165" s="2"/>
    </row>
    <row r="166" spans="17:17">
      <c r="Q166" s="2"/>
    </row>
    <row r="167" spans="17:17">
      <c r="Q167" s="2"/>
    </row>
    <row r="168" spans="17:17">
      <c r="Q168" s="2"/>
    </row>
    <row r="169" spans="17:17">
      <c r="Q169" s="2"/>
    </row>
    <row r="170" spans="17:17">
      <c r="Q170" s="2"/>
    </row>
    <row r="171" spans="17:17">
      <c r="Q171" s="2"/>
    </row>
    <row r="172" spans="17:17">
      <c r="Q172" s="2"/>
    </row>
    <row r="173" spans="17:17">
      <c r="Q173" s="2"/>
    </row>
    <row r="174" spans="17:17">
      <c r="Q174" s="2"/>
    </row>
    <row r="175" spans="17:17">
      <c r="Q175" s="2"/>
    </row>
    <row r="176" spans="17:17">
      <c r="Q176" s="2"/>
    </row>
    <row r="177" spans="17:17">
      <c r="Q177" s="2"/>
    </row>
    <row r="178" spans="17:17">
      <c r="Q178" s="2"/>
    </row>
    <row r="179" spans="17:17">
      <c r="Q179" s="2"/>
    </row>
    <row r="180" spans="17:17">
      <c r="Q180" s="2"/>
    </row>
    <row r="181" spans="17:17">
      <c r="Q181" s="2"/>
    </row>
    <row r="182" spans="17:17">
      <c r="Q182" s="2"/>
    </row>
    <row r="183" spans="17:17">
      <c r="Q183" s="2"/>
    </row>
    <row r="184" spans="17:17">
      <c r="Q184" s="2"/>
    </row>
    <row r="185" spans="17:17">
      <c r="Q185" s="2"/>
    </row>
    <row r="186" spans="17:17">
      <c r="Q186" s="2"/>
    </row>
    <row r="187" spans="17:17">
      <c r="Q187" s="2"/>
    </row>
    <row r="188" spans="17:17">
      <c r="Q188" s="2"/>
    </row>
    <row r="189" spans="17:17">
      <c r="Q189" s="2"/>
    </row>
    <row r="190" spans="17:17">
      <c r="Q190" s="2"/>
    </row>
    <row r="191" spans="17:17">
      <c r="Q191" s="2"/>
    </row>
    <row r="192" spans="17:17">
      <c r="Q192" s="2"/>
    </row>
    <row r="193" spans="17:17">
      <c r="Q193" s="2"/>
    </row>
    <row r="194" spans="17:17">
      <c r="Q194" s="2"/>
    </row>
    <row r="195" spans="17:17">
      <c r="Q195" s="2"/>
    </row>
    <row r="196" spans="17:17">
      <c r="Q196" s="2"/>
    </row>
    <row r="197" spans="17:17">
      <c r="Q197" s="2"/>
    </row>
    <row r="198" spans="17:17">
      <c r="Q198" s="2"/>
    </row>
    <row r="199" spans="17:17">
      <c r="Q199" s="2"/>
    </row>
    <row r="200" spans="17:17">
      <c r="Q200" s="2"/>
    </row>
    <row r="201" spans="17:17">
      <c r="Q201" s="2"/>
    </row>
    <row r="202" spans="17:17">
      <c r="Q202" s="2"/>
    </row>
    <row r="203" spans="17:17">
      <c r="Q203" s="2"/>
    </row>
    <row r="204" spans="17:17">
      <c r="Q204" s="2"/>
    </row>
    <row r="205" spans="17:17">
      <c r="Q205" s="2"/>
    </row>
    <row r="206" spans="17:17">
      <c r="Q206" s="2"/>
    </row>
    <row r="207" spans="17:17">
      <c r="Q207" s="2"/>
    </row>
    <row r="208" spans="17:17">
      <c r="Q208" s="2"/>
    </row>
    <row r="209" spans="17:17">
      <c r="Q209" s="2"/>
    </row>
    <row r="210" spans="17:17">
      <c r="Q210" s="2"/>
    </row>
    <row r="211" spans="17:17">
      <c r="Q211" s="2"/>
    </row>
    <row r="212" spans="17:17">
      <c r="Q212" s="2"/>
    </row>
    <row r="213" spans="17:17">
      <c r="Q213" s="2"/>
    </row>
    <row r="214" spans="17:17">
      <c r="Q214" s="2"/>
    </row>
    <row r="215" spans="17:17">
      <c r="Q215" s="2"/>
    </row>
    <row r="216" spans="17:17">
      <c r="Q216" s="2"/>
    </row>
    <row r="217" spans="17:17">
      <c r="Q217" s="2"/>
    </row>
    <row r="218" spans="17:17">
      <c r="Q218" s="2"/>
    </row>
    <row r="219" spans="17:17">
      <c r="Q219" s="2"/>
    </row>
    <row r="220" spans="17:17">
      <c r="Q220" s="2"/>
    </row>
    <row r="221" spans="17:17">
      <c r="Q221" s="2"/>
    </row>
    <row r="222" spans="17:17">
      <c r="Q222" s="2"/>
    </row>
    <row r="223" spans="17:17">
      <c r="Q223" s="2"/>
    </row>
    <row r="224" spans="17:17">
      <c r="Q224" s="2"/>
    </row>
    <row r="225" spans="17:17">
      <c r="Q225" s="2"/>
    </row>
    <row r="226" spans="17:17">
      <c r="Q226" s="2"/>
    </row>
    <row r="227" spans="17:17">
      <c r="Q227" s="2"/>
    </row>
    <row r="228" spans="17:17">
      <c r="Q228" s="2"/>
    </row>
    <row r="229" spans="17:17">
      <c r="Q229" s="2"/>
    </row>
    <row r="230" spans="17:17">
      <c r="Q230" s="2"/>
    </row>
    <row r="231" spans="17:17">
      <c r="Q231" s="2"/>
    </row>
    <row r="232" spans="17:17">
      <c r="Q232" s="2"/>
    </row>
    <row r="233" spans="17:17">
      <c r="Q233" s="2"/>
    </row>
    <row r="234" spans="17:17">
      <c r="Q234" s="2"/>
    </row>
    <row r="235" spans="17:17">
      <c r="Q235" s="2"/>
    </row>
    <row r="236" spans="17:17">
      <c r="Q236" s="2"/>
    </row>
    <row r="237" spans="17:17">
      <c r="Q237" s="2"/>
    </row>
    <row r="238" spans="17:17">
      <c r="Q238" s="2"/>
    </row>
    <row r="239" spans="17:17">
      <c r="Q239" s="2"/>
    </row>
    <row r="240" spans="17:17">
      <c r="Q240" s="2"/>
    </row>
    <row r="241" spans="17:17">
      <c r="Q241" s="2"/>
    </row>
    <row r="242" spans="17:17">
      <c r="Q242" s="2"/>
    </row>
    <row r="243" spans="17:17">
      <c r="Q243" s="2"/>
    </row>
    <row r="244" spans="17:17">
      <c r="Q244" s="2"/>
    </row>
    <row r="245" spans="17:17">
      <c r="Q245" s="2"/>
    </row>
    <row r="246" spans="17:17">
      <c r="Q246" s="2"/>
    </row>
    <row r="247" spans="17:17">
      <c r="Q247" s="2"/>
    </row>
    <row r="248" spans="17:17">
      <c r="Q248" s="2"/>
    </row>
    <row r="249" spans="17:17">
      <c r="Q249" s="2"/>
    </row>
    <row r="250" spans="17:17">
      <c r="Q250" s="2"/>
    </row>
    <row r="251" spans="17:17">
      <c r="Q251" s="2"/>
    </row>
    <row r="252" spans="17:17">
      <c r="Q252" s="2"/>
    </row>
    <row r="253" spans="17:17">
      <c r="Q253" s="2"/>
    </row>
    <row r="254" spans="17:17">
      <c r="Q254" s="2"/>
    </row>
    <row r="255" spans="17:17">
      <c r="Q255" s="2"/>
    </row>
    <row r="256" spans="17:17">
      <c r="Q256" s="2"/>
    </row>
    <row r="257" spans="17:17">
      <c r="Q257" s="2"/>
    </row>
    <row r="258" spans="17:17">
      <c r="Q258" s="2"/>
    </row>
    <row r="259" spans="17:17">
      <c r="Q259" s="2"/>
    </row>
    <row r="260" spans="17:17">
      <c r="Q260" s="2"/>
    </row>
    <row r="261" spans="17:17">
      <c r="Q261" s="2"/>
    </row>
    <row r="262" spans="17:17">
      <c r="Q262" s="2"/>
    </row>
    <row r="263" spans="17:17">
      <c r="Q263" s="2"/>
    </row>
    <row r="264" spans="17:17">
      <c r="Q264" s="2"/>
    </row>
    <row r="265" spans="17:17">
      <c r="Q265" s="2"/>
    </row>
    <row r="266" spans="17:17">
      <c r="Q266" s="2"/>
    </row>
    <row r="267" spans="17:17">
      <c r="Q267" s="2"/>
    </row>
    <row r="268" spans="17:17">
      <c r="Q268" s="2"/>
    </row>
    <row r="269" spans="17:17">
      <c r="Q269" s="2"/>
    </row>
    <row r="270" spans="17:17">
      <c r="Q270" s="2"/>
    </row>
    <row r="271" spans="17:17">
      <c r="Q271" s="2"/>
    </row>
    <row r="272" spans="17:17">
      <c r="Q272" s="2"/>
    </row>
    <row r="273" spans="17:17">
      <c r="Q273" s="2"/>
    </row>
    <row r="274" spans="17:17">
      <c r="Q274" s="2"/>
    </row>
    <row r="275" spans="17:17">
      <c r="Q275" s="2"/>
    </row>
    <row r="276" spans="17:17">
      <c r="Q276" s="2"/>
    </row>
    <row r="277" spans="17:17">
      <c r="Q277" s="2"/>
    </row>
    <row r="278" spans="17:17">
      <c r="Q278" s="2"/>
    </row>
    <row r="279" spans="17:17">
      <c r="Q279" s="2"/>
    </row>
    <row r="280" spans="17:17">
      <c r="Q280" s="2"/>
    </row>
    <row r="281" spans="17:17">
      <c r="Q281" s="2"/>
    </row>
    <row r="282" spans="17:17">
      <c r="Q282" s="2"/>
    </row>
    <row r="283" spans="17:17">
      <c r="Q283" s="2"/>
    </row>
    <row r="284" spans="17:17">
      <c r="Q284" s="2"/>
    </row>
    <row r="285" spans="17:17">
      <c r="Q285" s="2"/>
    </row>
    <row r="286" spans="17:17">
      <c r="Q286" s="2"/>
    </row>
    <row r="287" spans="17:17">
      <c r="Q287" s="2"/>
    </row>
    <row r="288" spans="17:17">
      <c r="Q288" s="2"/>
    </row>
    <row r="289" spans="17:17">
      <c r="Q289" s="2"/>
    </row>
    <row r="290" spans="17:17">
      <c r="Q290" s="2"/>
    </row>
    <row r="291" spans="17:17">
      <c r="Q291" s="2"/>
    </row>
    <row r="292" spans="17:17">
      <c r="Q292" s="2"/>
    </row>
    <row r="293" spans="17:17">
      <c r="Q293" s="2"/>
    </row>
    <row r="294" spans="17:17">
      <c r="Q294" s="2"/>
    </row>
    <row r="295" spans="17:17">
      <c r="Q295" s="2"/>
    </row>
    <row r="296" spans="17:17">
      <c r="Q296" s="2"/>
    </row>
    <row r="297" spans="17:17">
      <c r="Q297" s="2"/>
    </row>
    <row r="298" spans="17:17">
      <c r="Q298" s="2"/>
    </row>
    <row r="299" spans="17:17">
      <c r="Q299" s="2"/>
    </row>
    <row r="300" spans="17:17">
      <c r="Q300" s="2"/>
    </row>
    <row r="301" spans="17:17">
      <c r="Q301" s="2"/>
    </row>
    <row r="302" spans="17:17">
      <c r="Q302" s="2"/>
    </row>
    <row r="303" spans="17:17">
      <c r="Q303" s="2"/>
    </row>
    <row r="304" spans="17:17">
      <c r="Q304" s="2"/>
    </row>
    <row r="305" spans="17:17">
      <c r="Q305" s="2"/>
    </row>
    <row r="306" spans="17:17">
      <c r="Q306" s="2"/>
    </row>
    <row r="307" spans="17:17">
      <c r="Q307" s="2"/>
    </row>
    <row r="308" spans="17:17">
      <c r="Q308" s="2"/>
    </row>
    <row r="309" spans="17:17">
      <c r="Q309" s="2"/>
    </row>
    <row r="310" spans="17:17">
      <c r="Q310" s="2"/>
    </row>
    <row r="311" spans="17:17">
      <c r="Q311" s="2"/>
    </row>
    <row r="312" spans="17:17">
      <c r="Q312" s="2"/>
    </row>
    <row r="313" spans="17:17">
      <c r="Q313" s="2"/>
    </row>
    <row r="314" spans="17:17">
      <c r="Q314" s="2"/>
    </row>
    <row r="315" spans="17:17">
      <c r="Q315" s="2"/>
    </row>
    <row r="316" spans="17:17">
      <c r="Q316" s="2"/>
    </row>
    <row r="317" spans="17:17">
      <c r="Q317" s="2"/>
    </row>
    <row r="318" spans="17:17">
      <c r="Q318" s="2"/>
    </row>
    <row r="319" spans="17:17">
      <c r="Q319" s="2"/>
    </row>
    <row r="320" spans="17:17">
      <c r="Q320" s="2"/>
    </row>
    <row r="321" spans="17:17">
      <c r="Q321" s="2"/>
    </row>
    <row r="322" spans="17:17">
      <c r="Q322" s="2"/>
    </row>
    <row r="323" spans="17:17">
      <c r="Q323" s="2"/>
    </row>
    <row r="324" spans="17:17">
      <c r="Q324" s="2"/>
    </row>
    <row r="325" spans="17:17">
      <c r="Q325" s="2"/>
    </row>
    <row r="326" spans="17:17">
      <c r="Q326" s="2"/>
    </row>
    <row r="327" spans="17:17">
      <c r="Q327" s="2"/>
    </row>
    <row r="328" spans="17:17">
      <c r="Q328" s="2"/>
    </row>
    <row r="329" spans="17:17">
      <c r="Q329" s="2"/>
    </row>
    <row r="330" spans="17:17">
      <c r="Q330" s="2"/>
    </row>
    <row r="331" spans="17:17">
      <c r="Q331" s="2"/>
    </row>
    <row r="332" spans="17:17">
      <c r="Q332" s="2"/>
    </row>
    <row r="333" spans="17:17">
      <c r="Q333" s="2"/>
    </row>
    <row r="334" spans="17:17">
      <c r="Q334" s="2"/>
    </row>
    <row r="335" spans="17:17">
      <c r="Q335" s="2"/>
    </row>
    <row r="336" spans="17:17">
      <c r="Q336" s="2"/>
    </row>
    <row r="337" spans="17:17">
      <c r="Q337" s="2"/>
    </row>
    <row r="338" spans="17:17">
      <c r="Q338" s="2"/>
    </row>
    <row r="339" spans="17:17">
      <c r="Q339" s="2"/>
    </row>
    <row r="340" spans="17:17">
      <c r="Q340" s="2"/>
    </row>
    <row r="341" spans="17:17">
      <c r="Q341" s="2"/>
    </row>
    <row r="342" spans="17:17">
      <c r="Q342" s="2"/>
    </row>
    <row r="343" spans="17:17">
      <c r="Q343" s="2"/>
    </row>
    <row r="344" spans="17:17">
      <c r="Q344" s="2"/>
    </row>
    <row r="345" spans="17:17">
      <c r="Q345" s="2"/>
    </row>
    <row r="346" spans="17:17">
      <c r="Q346" s="2"/>
    </row>
    <row r="347" spans="17:17">
      <c r="Q347" s="2"/>
    </row>
    <row r="348" spans="17:17">
      <c r="Q348" s="2"/>
    </row>
    <row r="349" spans="17:17">
      <c r="Q349" s="2"/>
    </row>
  </sheetData>
  <pageMargins left="1" right="0.28999999999999998" top="0.75" bottom="0.43" header="0.25" footer="0"/>
  <pageSetup scale="35" orientation="landscape" r:id="rId1"/>
  <headerFooter alignWithMargins="0">
    <oddFooter xml:space="preserve">&amp;L&amp;"Arial,Regular"           Davidson Benefits Planning - An Alera Group Company 
&amp;C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A4C3B-BF5D-4DF4-A4AD-81146251458F}">
  <dimension ref="A1:AL349"/>
  <sheetViews>
    <sheetView showGridLines="0" topLeftCell="A4" zoomScale="70" zoomScaleNormal="70" zoomScaleSheetLayoutView="75" workbookViewId="0">
      <selection activeCell="B8" sqref="B8:B9"/>
    </sheetView>
  </sheetViews>
  <sheetFormatPr defaultColWidth="10.33203125" defaultRowHeight="15"/>
  <cols>
    <col min="1" max="1" width="90.6640625" style="2" customWidth="1"/>
    <col min="2" max="2" width="29" style="55" customWidth="1"/>
    <col min="3" max="7" width="29" style="55" hidden="1" customWidth="1"/>
    <col min="8" max="8" width="32.33203125" style="2" customWidth="1"/>
    <col min="9" max="14" width="12.21875" style="2" customWidth="1"/>
    <col min="15" max="15" width="9.109375" style="2" customWidth="1"/>
    <col min="16" max="16" width="5.109375" style="2" customWidth="1"/>
    <col min="17" max="17" width="115.88671875" style="2" customWidth="1"/>
    <col min="18" max="18" width="19.109375" style="2" customWidth="1"/>
    <col min="19" max="19" width="2.33203125" style="3" customWidth="1"/>
    <col min="20" max="20" width="19.109375" style="2" customWidth="1"/>
    <col min="21" max="21" width="2.33203125" style="2" customWidth="1"/>
    <col min="22" max="22" width="19.109375" style="2" customWidth="1"/>
    <col min="23" max="23" width="2.6640625" style="2" customWidth="1"/>
    <col min="24" max="24" width="19.88671875" style="2" customWidth="1"/>
    <col min="25" max="25" width="13.21875" style="2" customWidth="1"/>
    <col min="26" max="26" width="16.33203125" style="2" customWidth="1"/>
    <col min="27" max="27" width="12.77734375" style="2" customWidth="1"/>
    <col min="28" max="29" width="12.109375" style="2" customWidth="1"/>
    <col min="30" max="32" width="10.33203125" style="2" customWidth="1"/>
    <col min="33" max="33" width="10.88671875" style="2" customWidth="1"/>
    <col min="34" max="36" width="10.33203125" style="2" customWidth="1"/>
    <col min="37" max="37" width="24.6640625" style="2" customWidth="1"/>
    <col min="38" max="38" width="15.109375" style="2" customWidth="1"/>
    <col min="39" max="266" width="10.33203125" style="2"/>
    <col min="267" max="268" width="0" style="2" hidden="1" customWidth="1"/>
    <col min="269" max="269" width="7.6640625" style="2" customWidth="1"/>
    <col min="270" max="270" width="4.21875" style="2" customWidth="1"/>
    <col min="271" max="271" width="98" style="2" customWidth="1"/>
    <col min="272" max="272" width="16.109375" style="2" customWidth="1"/>
    <col min="273" max="273" width="2" style="2" customWidth="1"/>
    <col min="274" max="274" width="15.88671875" style="2" customWidth="1"/>
    <col min="275" max="275" width="2" style="2" customWidth="1"/>
    <col min="276" max="276" width="13.33203125" style="2" customWidth="1"/>
    <col min="277" max="277" width="2" style="2" customWidth="1"/>
    <col min="278" max="278" width="13.33203125" style="2" customWidth="1"/>
    <col min="279" max="279" width="2.33203125" style="2" customWidth="1"/>
    <col min="280" max="280" width="2.109375" style="2" customWidth="1"/>
    <col min="281" max="281" width="16.77734375" style="2" customWidth="1"/>
    <col min="282" max="282" width="13.77734375" style="2" customWidth="1"/>
    <col min="283" max="292" width="8.6640625" style="2" customWidth="1"/>
    <col min="293" max="293" width="20.77734375" style="2" customWidth="1"/>
    <col min="294" max="522" width="10.33203125" style="2"/>
    <col min="523" max="524" width="0" style="2" hidden="1" customWidth="1"/>
    <col min="525" max="525" width="7.6640625" style="2" customWidth="1"/>
    <col min="526" max="526" width="4.21875" style="2" customWidth="1"/>
    <col min="527" max="527" width="98" style="2" customWidth="1"/>
    <col min="528" max="528" width="16.109375" style="2" customWidth="1"/>
    <col min="529" max="529" width="2" style="2" customWidth="1"/>
    <col min="530" max="530" width="15.88671875" style="2" customWidth="1"/>
    <col min="531" max="531" width="2" style="2" customWidth="1"/>
    <col min="532" max="532" width="13.33203125" style="2" customWidth="1"/>
    <col min="533" max="533" width="2" style="2" customWidth="1"/>
    <col min="534" max="534" width="13.33203125" style="2" customWidth="1"/>
    <col min="535" max="535" width="2.33203125" style="2" customWidth="1"/>
    <col min="536" max="536" width="2.109375" style="2" customWidth="1"/>
    <col min="537" max="537" width="16.77734375" style="2" customWidth="1"/>
    <col min="538" max="538" width="13.77734375" style="2" customWidth="1"/>
    <col min="539" max="548" width="8.6640625" style="2" customWidth="1"/>
    <col min="549" max="549" width="20.77734375" style="2" customWidth="1"/>
    <col min="550" max="778" width="10.33203125" style="2"/>
    <col min="779" max="780" width="0" style="2" hidden="1" customWidth="1"/>
    <col min="781" max="781" width="7.6640625" style="2" customWidth="1"/>
    <col min="782" max="782" width="4.21875" style="2" customWidth="1"/>
    <col min="783" max="783" width="98" style="2" customWidth="1"/>
    <col min="784" max="784" width="16.109375" style="2" customWidth="1"/>
    <col min="785" max="785" width="2" style="2" customWidth="1"/>
    <col min="786" max="786" width="15.88671875" style="2" customWidth="1"/>
    <col min="787" max="787" width="2" style="2" customWidth="1"/>
    <col min="788" max="788" width="13.33203125" style="2" customWidth="1"/>
    <col min="789" max="789" width="2" style="2" customWidth="1"/>
    <col min="790" max="790" width="13.33203125" style="2" customWidth="1"/>
    <col min="791" max="791" width="2.33203125" style="2" customWidth="1"/>
    <col min="792" max="792" width="2.109375" style="2" customWidth="1"/>
    <col min="793" max="793" width="16.77734375" style="2" customWidth="1"/>
    <col min="794" max="794" width="13.77734375" style="2" customWidth="1"/>
    <col min="795" max="804" width="8.6640625" style="2" customWidth="1"/>
    <col min="805" max="805" width="20.77734375" style="2" customWidth="1"/>
    <col min="806" max="1034" width="10.33203125" style="2"/>
    <col min="1035" max="1036" width="0" style="2" hidden="1" customWidth="1"/>
    <col min="1037" max="1037" width="7.6640625" style="2" customWidth="1"/>
    <col min="1038" max="1038" width="4.21875" style="2" customWidth="1"/>
    <col min="1039" max="1039" width="98" style="2" customWidth="1"/>
    <col min="1040" max="1040" width="16.109375" style="2" customWidth="1"/>
    <col min="1041" max="1041" width="2" style="2" customWidth="1"/>
    <col min="1042" max="1042" width="15.88671875" style="2" customWidth="1"/>
    <col min="1043" max="1043" width="2" style="2" customWidth="1"/>
    <col min="1044" max="1044" width="13.33203125" style="2" customWidth="1"/>
    <col min="1045" max="1045" width="2" style="2" customWidth="1"/>
    <col min="1046" max="1046" width="13.33203125" style="2" customWidth="1"/>
    <col min="1047" max="1047" width="2.33203125" style="2" customWidth="1"/>
    <col min="1048" max="1048" width="2.109375" style="2" customWidth="1"/>
    <col min="1049" max="1049" width="16.77734375" style="2" customWidth="1"/>
    <col min="1050" max="1050" width="13.77734375" style="2" customWidth="1"/>
    <col min="1051" max="1060" width="8.6640625" style="2" customWidth="1"/>
    <col min="1061" max="1061" width="20.77734375" style="2" customWidth="1"/>
    <col min="1062" max="1290" width="10.33203125" style="2"/>
    <col min="1291" max="1292" width="0" style="2" hidden="1" customWidth="1"/>
    <col min="1293" max="1293" width="7.6640625" style="2" customWidth="1"/>
    <col min="1294" max="1294" width="4.21875" style="2" customWidth="1"/>
    <col min="1295" max="1295" width="98" style="2" customWidth="1"/>
    <col min="1296" max="1296" width="16.109375" style="2" customWidth="1"/>
    <col min="1297" max="1297" width="2" style="2" customWidth="1"/>
    <col min="1298" max="1298" width="15.88671875" style="2" customWidth="1"/>
    <col min="1299" max="1299" width="2" style="2" customWidth="1"/>
    <col min="1300" max="1300" width="13.33203125" style="2" customWidth="1"/>
    <col min="1301" max="1301" width="2" style="2" customWidth="1"/>
    <col min="1302" max="1302" width="13.33203125" style="2" customWidth="1"/>
    <col min="1303" max="1303" width="2.33203125" style="2" customWidth="1"/>
    <col min="1304" max="1304" width="2.109375" style="2" customWidth="1"/>
    <col min="1305" max="1305" width="16.77734375" style="2" customWidth="1"/>
    <col min="1306" max="1306" width="13.77734375" style="2" customWidth="1"/>
    <col min="1307" max="1316" width="8.6640625" style="2" customWidth="1"/>
    <col min="1317" max="1317" width="20.77734375" style="2" customWidth="1"/>
    <col min="1318" max="1546" width="10.33203125" style="2"/>
    <col min="1547" max="1548" width="0" style="2" hidden="1" customWidth="1"/>
    <col min="1549" max="1549" width="7.6640625" style="2" customWidth="1"/>
    <col min="1550" max="1550" width="4.21875" style="2" customWidth="1"/>
    <col min="1551" max="1551" width="98" style="2" customWidth="1"/>
    <col min="1552" max="1552" width="16.109375" style="2" customWidth="1"/>
    <col min="1553" max="1553" width="2" style="2" customWidth="1"/>
    <col min="1554" max="1554" width="15.88671875" style="2" customWidth="1"/>
    <col min="1555" max="1555" width="2" style="2" customWidth="1"/>
    <col min="1556" max="1556" width="13.33203125" style="2" customWidth="1"/>
    <col min="1557" max="1557" width="2" style="2" customWidth="1"/>
    <col min="1558" max="1558" width="13.33203125" style="2" customWidth="1"/>
    <col min="1559" max="1559" width="2.33203125" style="2" customWidth="1"/>
    <col min="1560" max="1560" width="2.109375" style="2" customWidth="1"/>
    <col min="1561" max="1561" width="16.77734375" style="2" customWidth="1"/>
    <col min="1562" max="1562" width="13.77734375" style="2" customWidth="1"/>
    <col min="1563" max="1572" width="8.6640625" style="2" customWidth="1"/>
    <col min="1573" max="1573" width="20.77734375" style="2" customWidth="1"/>
    <col min="1574" max="1802" width="10.33203125" style="2"/>
    <col min="1803" max="1804" width="0" style="2" hidden="1" customWidth="1"/>
    <col min="1805" max="1805" width="7.6640625" style="2" customWidth="1"/>
    <col min="1806" max="1806" width="4.21875" style="2" customWidth="1"/>
    <col min="1807" max="1807" width="98" style="2" customWidth="1"/>
    <col min="1808" max="1808" width="16.109375" style="2" customWidth="1"/>
    <col min="1809" max="1809" width="2" style="2" customWidth="1"/>
    <col min="1810" max="1810" width="15.88671875" style="2" customWidth="1"/>
    <col min="1811" max="1811" width="2" style="2" customWidth="1"/>
    <col min="1812" max="1812" width="13.33203125" style="2" customWidth="1"/>
    <col min="1813" max="1813" width="2" style="2" customWidth="1"/>
    <col min="1814" max="1814" width="13.33203125" style="2" customWidth="1"/>
    <col min="1815" max="1815" width="2.33203125" style="2" customWidth="1"/>
    <col min="1816" max="1816" width="2.109375" style="2" customWidth="1"/>
    <col min="1817" max="1817" width="16.77734375" style="2" customWidth="1"/>
    <col min="1818" max="1818" width="13.77734375" style="2" customWidth="1"/>
    <col min="1819" max="1828" width="8.6640625" style="2" customWidth="1"/>
    <col min="1829" max="1829" width="20.77734375" style="2" customWidth="1"/>
    <col min="1830" max="2058" width="10.33203125" style="2"/>
    <col min="2059" max="2060" width="0" style="2" hidden="1" customWidth="1"/>
    <col min="2061" max="2061" width="7.6640625" style="2" customWidth="1"/>
    <col min="2062" max="2062" width="4.21875" style="2" customWidth="1"/>
    <col min="2063" max="2063" width="98" style="2" customWidth="1"/>
    <col min="2064" max="2064" width="16.109375" style="2" customWidth="1"/>
    <col min="2065" max="2065" width="2" style="2" customWidth="1"/>
    <col min="2066" max="2066" width="15.88671875" style="2" customWidth="1"/>
    <col min="2067" max="2067" width="2" style="2" customWidth="1"/>
    <col min="2068" max="2068" width="13.33203125" style="2" customWidth="1"/>
    <col min="2069" max="2069" width="2" style="2" customWidth="1"/>
    <col min="2070" max="2070" width="13.33203125" style="2" customWidth="1"/>
    <col min="2071" max="2071" width="2.33203125" style="2" customWidth="1"/>
    <col min="2072" max="2072" width="2.109375" style="2" customWidth="1"/>
    <col min="2073" max="2073" width="16.77734375" style="2" customWidth="1"/>
    <col min="2074" max="2074" width="13.77734375" style="2" customWidth="1"/>
    <col min="2075" max="2084" width="8.6640625" style="2" customWidth="1"/>
    <col min="2085" max="2085" width="20.77734375" style="2" customWidth="1"/>
    <col min="2086" max="2314" width="10.33203125" style="2"/>
    <col min="2315" max="2316" width="0" style="2" hidden="1" customWidth="1"/>
    <col min="2317" max="2317" width="7.6640625" style="2" customWidth="1"/>
    <col min="2318" max="2318" width="4.21875" style="2" customWidth="1"/>
    <col min="2319" max="2319" width="98" style="2" customWidth="1"/>
    <col min="2320" max="2320" width="16.109375" style="2" customWidth="1"/>
    <col min="2321" max="2321" width="2" style="2" customWidth="1"/>
    <col min="2322" max="2322" width="15.88671875" style="2" customWidth="1"/>
    <col min="2323" max="2323" width="2" style="2" customWidth="1"/>
    <col min="2324" max="2324" width="13.33203125" style="2" customWidth="1"/>
    <col min="2325" max="2325" width="2" style="2" customWidth="1"/>
    <col min="2326" max="2326" width="13.33203125" style="2" customWidth="1"/>
    <col min="2327" max="2327" width="2.33203125" style="2" customWidth="1"/>
    <col min="2328" max="2328" width="2.109375" style="2" customWidth="1"/>
    <col min="2329" max="2329" width="16.77734375" style="2" customWidth="1"/>
    <col min="2330" max="2330" width="13.77734375" style="2" customWidth="1"/>
    <col min="2331" max="2340" width="8.6640625" style="2" customWidth="1"/>
    <col min="2341" max="2341" width="20.77734375" style="2" customWidth="1"/>
    <col min="2342" max="2570" width="10.33203125" style="2"/>
    <col min="2571" max="2572" width="0" style="2" hidden="1" customWidth="1"/>
    <col min="2573" max="2573" width="7.6640625" style="2" customWidth="1"/>
    <col min="2574" max="2574" width="4.21875" style="2" customWidth="1"/>
    <col min="2575" max="2575" width="98" style="2" customWidth="1"/>
    <col min="2576" max="2576" width="16.109375" style="2" customWidth="1"/>
    <col min="2577" max="2577" width="2" style="2" customWidth="1"/>
    <col min="2578" max="2578" width="15.88671875" style="2" customWidth="1"/>
    <col min="2579" max="2579" width="2" style="2" customWidth="1"/>
    <col min="2580" max="2580" width="13.33203125" style="2" customWidth="1"/>
    <col min="2581" max="2581" width="2" style="2" customWidth="1"/>
    <col min="2582" max="2582" width="13.33203125" style="2" customWidth="1"/>
    <col min="2583" max="2583" width="2.33203125" style="2" customWidth="1"/>
    <col min="2584" max="2584" width="2.109375" style="2" customWidth="1"/>
    <col min="2585" max="2585" width="16.77734375" style="2" customWidth="1"/>
    <col min="2586" max="2586" width="13.77734375" style="2" customWidth="1"/>
    <col min="2587" max="2596" width="8.6640625" style="2" customWidth="1"/>
    <col min="2597" max="2597" width="20.77734375" style="2" customWidth="1"/>
    <col min="2598" max="2826" width="10.33203125" style="2"/>
    <col min="2827" max="2828" width="0" style="2" hidden="1" customWidth="1"/>
    <col min="2829" max="2829" width="7.6640625" style="2" customWidth="1"/>
    <col min="2830" max="2830" width="4.21875" style="2" customWidth="1"/>
    <col min="2831" max="2831" width="98" style="2" customWidth="1"/>
    <col min="2832" max="2832" width="16.109375" style="2" customWidth="1"/>
    <col min="2833" max="2833" width="2" style="2" customWidth="1"/>
    <col min="2834" max="2834" width="15.88671875" style="2" customWidth="1"/>
    <col min="2835" max="2835" width="2" style="2" customWidth="1"/>
    <col min="2836" max="2836" width="13.33203125" style="2" customWidth="1"/>
    <col min="2837" max="2837" width="2" style="2" customWidth="1"/>
    <col min="2838" max="2838" width="13.33203125" style="2" customWidth="1"/>
    <col min="2839" max="2839" width="2.33203125" style="2" customWidth="1"/>
    <col min="2840" max="2840" width="2.109375" style="2" customWidth="1"/>
    <col min="2841" max="2841" width="16.77734375" style="2" customWidth="1"/>
    <col min="2842" max="2842" width="13.77734375" style="2" customWidth="1"/>
    <col min="2843" max="2852" width="8.6640625" style="2" customWidth="1"/>
    <col min="2853" max="2853" width="20.77734375" style="2" customWidth="1"/>
    <col min="2854" max="3082" width="10.33203125" style="2"/>
    <col min="3083" max="3084" width="0" style="2" hidden="1" customWidth="1"/>
    <col min="3085" max="3085" width="7.6640625" style="2" customWidth="1"/>
    <col min="3086" max="3086" width="4.21875" style="2" customWidth="1"/>
    <col min="3087" max="3087" width="98" style="2" customWidth="1"/>
    <col min="3088" max="3088" width="16.109375" style="2" customWidth="1"/>
    <col min="3089" max="3089" width="2" style="2" customWidth="1"/>
    <col min="3090" max="3090" width="15.88671875" style="2" customWidth="1"/>
    <col min="3091" max="3091" width="2" style="2" customWidth="1"/>
    <col min="3092" max="3092" width="13.33203125" style="2" customWidth="1"/>
    <col min="3093" max="3093" width="2" style="2" customWidth="1"/>
    <col min="3094" max="3094" width="13.33203125" style="2" customWidth="1"/>
    <col min="3095" max="3095" width="2.33203125" style="2" customWidth="1"/>
    <col min="3096" max="3096" width="2.109375" style="2" customWidth="1"/>
    <col min="3097" max="3097" width="16.77734375" style="2" customWidth="1"/>
    <col min="3098" max="3098" width="13.77734375" style="2" customWidth="1"/>
    <col min="3099" max="3108" width="8.6640625" style="2" customWidth="1"/>
    <col min="3109" max="3109" width="20.77734375" style="2" customWidth="1"/>
    <col min="3110" max="3338" width="10.33203125" style="2"/>
    <col min="3339" max="3340" width="0" style="2" hidden="1" customWidth="1"/>
    <col min="3341" max="3341" width="7.6640625" style="2" customWidth="1"/>
    <col min="3342" max="3342" width="4.21875" style="2" customWidth="1"/>
    <col min="3343" max="3343" width="98" style="2" customWidth="1"/>
    <col min="3344" max="3344" width="16.109375" style="2" customWidth="1"/>
    <col min="3345" max="3345" width="2" style="2" customWidth="1"/>
    <col min="3346" max="3346" width="15.88671875" style="2" customWidth="1"/>
    <col min="3347" max="3347" width="2" style="2" customWidth="1"/>
    <col min="3348" max="3348" width="13.33203125" style="2" customWidth="1"/>
    <col min="3349" max="3349" width="2" style="2" customWidth="1"/>
    <col min="3350" max="3350" width="13.33203125" style="2" customWidth="1"/>
    <col min="3351" max="3351" width="2.33203125" style="2" customWidth="1"/>
    <col min="3352" max="3352" width="2.109375" style="2" customWidth="1"/>
    <col min="3353" max="3353" width="16.77734375" style="2" customWidth="1"/>
    <col min="3354" max="3354" width="13.77734375" style="2" customWidth="1"/>
    <col min="3355" max="3364" width="8.6640625" style="2" customWidth="1"/>
    <col min="3365" max="3365" width="20.77734375" style="2" customWidth="1"/>
    <col min="3366" max="3594" width="10.33203125" style="2"/>
    <col min="3595" max="3596" width="0" style="2" hidden="1" customWidth="1"/>
    <col min="3597" max="3597" width="7.6640625" style="2" customWidth="1"/>
    <col min="3598" max="3598" width="4.21875" style="2" customWidth="1"/>
    <col min="3599" max="3599" width="98" style="2" customWidth="1"/>
    <col min="3600" max="3600" width="16.109375" style="2" customWidth="1"/>
    <col min="3601" max="3601" width="2" style="2" customWidth="1"/>
    <col min="3602" max="3602" width="15.88671875" style="2" customWidth="1"/>
    <col min="3603" max="3603" width="2" style="2" customWidth="1"/>
    <col min="3604" max="3604" width="13.33203125" style="2" customWidth="1"/>
    <col min="3605" max="3605" width="2" style="2" customWidth="1"/>
    <col min="3606" max="3606" width="13.33203125" style="2" customWidth="1"/>
    <col min="3607" max="3607" width="2.33203125" style="2" customWidth="1"/>
    <col min="3608" max="3608" width="2.109375" style="2" customWidth="1"/>
    <col min="3609" max="3609" width="16.77734375" style="2" customWidth="1"/>
    <col min="3610" max="3610" width="13.77734375" style="2" customWidth="1"/>
    <col min="3611" max="3620" width="8.6640625" style="2" customWidth="1"/>
    <col min="3621" max="3621" width="20.77734375" style="2" customWidth="1"/>
    <col min="3622" max="3850" width="10.33203125" style="2"/>
    <col min="3851" max="3852" width="0" style="2" hidden="1" customWidth="1"/>
    <col min="3853" max="3853" width="7.6640625" style="2" customWidth="1"/>
    <col min="3854" max="3854" width="4.21875" style="2" customWidth="1"/>
    <col min="3855" max="3855" width="98" style="2" customWidth="1"/>
    <col min="3856" max="3856" width="16.109375" style="2" customWidth="1"/>
    <col min="3857" max="3857" width="2" style="2" customWidth="1"/>
    <col min="3858" max="3858" width="15.88671875" style="2" customWidth="1"/>
    <col min="3859" max="3859" width="2" style="2" customWidth="1"/>
    <col min="3860" max="3860" width="13.33203125" style="2" customWidth="1"/>
    <col min="3861" max="3861" width="2" style="2" customWidth="1"/>
    <col min="3862" max="3862" width="13.33203125" style="2" customWidth="1"/>
    <col min="3863" max="3863" width="2.33203125" style="2" customWidth="1"/>
    <col min="3864" max="3864" width="2.109375" style="2" customWidth="1"/>
    <col min="3865" max="3865" width="16.77734375" style="2" customWidth="1"/>
    <col min="3866" max="3866" width="13.77734375" style="2" customWidth="1"/>
    <col min="3867" max="3876" width="8.6640625" style="2" customWidth="1"/>
    <col min="3877" max="3877" width="20.77734375" style="2" customWidth="1"/>
    <col min="3878" max="4106" width="10.33203125" style="2"/>
    <col min="4107" max="4108" width="0" style="2" hidden="1" customWidth="1"/>
    <col min="4109" max="4109" width="7.6640625" style="2" customWidth="1"/>
    <col min="4110" max="4110" width="4.21875" style="2" customWidth="1"/>
    <col min="4111" max="4111" width="98" style="2" customWidth="1"/>
    <col min="4112" max="4112" width="16.109375" style="2" customWidth="1"/>
    <col min="4113" max="4113" width="2" style="2" customWidth="1"/>
    <col min="4114" max="4114" width="15.88671875" style="2" customWidth="1"/>
    <col min="4115" max="4115" width="2" style="2" customWidth="1"/>
    <col min="4116" max="4116" width="13.33203125" style="2" customWidth="1"/>
    <col min="4117" max="4117" width="2" style="2" customWidth="1"/>
    <col min="4118" max="4118" width="13.33203125" style="2" customWidth="1"/>
    <col min="4119" max="4119" width="2.33203125" style="2" customWidth="1"/>
    <col min="4120" max="4120" width="2.109375" style="2" customWidth="1"/>
    <col min="4121" max="4121" width="16.77734375" style="2" customWidth="1"/>
    <col min="4122" max="4122" width="13.77734375" style="2" customWidth="1"/>
    <col min="4123" max="4132" width="8.6640625" style="2" customWidth="1"/>
    <col min="4133" max="4133" width="20.77734375" style="2" customWidth="1"/>
    <col min="4134" max="4362" width="10.33203125" style="2"/>
    <col min="4363" max="4364" width="0" style="2" hidden="1" customWidth="1"/>
    <col min="4365" max="4365" width="7.6640625" style="2" customWidth="1"/>
    <col min="4366" max="4366" width="4.21875" style="2" customWidth="1"/>
    <col min="4367" max="4367" width="98" style="2" customWidth="1"/>
    <col min="4368" max="4368" width="16.109375" style="2" customWidth="1"/>
    <col min="4369" max="4369" width="2" style="2" customWidth="1"/>
    <col min="4370" max="4370" width="15.88671875" style="2" customWidth="1"/>
    <col min="4371" max="4371" width="2" style="2" customWidth="1"/>
    <col min="4372" max="4372" width="13.33203125" style="2" customWidth="1"/>
    <col min="4373" max="4373" width="2" style="2" customWidth="1"/>
    <col min="4374" max="4374" width="13.33203125" style="2" customWidth="1"/>
    <col min="4375" max="4375" width="2.33203125" style="2" customWidth="1"/>
    <col min="4376" max="4376" width="2.109375" style="2" customWidth="1"/>
    <col min="4377" max="4377" width="16.77734375" style="2" customWidth="1"/>
    <col min="4378" max="4378" width="13.77734375" style="2" customWidth="1"/>
    <col min="4379" max="4388" width="8.6640625" style="2" customWidth="1"/>
    <col min="4389" max="4389" width="20.77734375" style="2" customWidth="1"/>
    <col min="4390" max="4618" width="10.33203125" style="2"/>
    <col min="4619" max="4620" width="0" style="2" hidden="1" customWidth="1"/>
    <col min="4621" max="4621" width="7.6640625" style="2" customWidth="1"/>
    <col min="4622" max="4622" width="4.21875" style="2" customWidth="1"/>
    <col min="4623" max="4623" width="98" style="2" customWidth="1"/>
    <col min="4624" max="4624" width="16.109375" style="2" customWidth="1"/>
    <col min="4625" max="4625" width="2" style="2" customWidth="1"/>
    <col min="4626" max="4626" width="15.88671875" style="2" customWidth="1"/>
    <col min="4627" max="4627" width="2" style="2" customWidth="1"/>
    <col min="4628" max="4628" width="13.33203125" style="2" customWidth="1"/>
    <col min="4629" max="4629" width="2" style="2" customWidth="1"/>
    <col min="4630" max="4630" width="13.33203125" style="2" customWidth="1"/>
    <col min="4631" max="4631" width="2.33203125" style="2" customWidth="1"/>
    <col min="4632" max="4632" width="2.109375" style="2" customWidth="1"/>
    <col min="4633" max="4633" width="16.77734375" style="2" customWidth="1"/>
    <col min="4634" max="4634" width="13.77734375" style="2" customWidth="1"/>
    <col min="4635" max="4644" width="8.6640625" style="2" customWidth="1"/>
    <col min="4645" max="4645" width="20.77734375" style="2" customWidth="1"/>
    <col min="4646" max="4874" width="10.33203125" style="2"/>
    <col min="4875" max="4876" width="0" style="2" hidden="1" customWidth="1"/>
    <col min="4877" max="4877" width="7.6640625" style="2" customWidth="1"/>
    <col min="4878" max="4878" width="4.21875" style="2" customWidth="1"/>
    <col min="4879" max="4879" width="98" style="2" customWidth="1"/>
    <col min="4880" max="4880" width="16.109375" style="2" customWidth="1"/>
    <col min="4881" max="4881" width="2" style="2" customWidth="1"/>
    <col min="4882" max="4882" width="15.88671875" style="2" customWidth="1"/>
    <col min="4883" max="4883" width="2" style="2" customWidth="1"/>
    <col min="4884" max="4884" width="13.33203125" style="2" customWidth="1"/>
    <col min="4885" max="4885" width="2" style="2" customWidth="1"/>
    <col min="4886" max="4886" width="13.33203125" style="2" customWidth="1"/>
    <col min="4887" max="4887" width="2.33203125" style="2" customWidth="1"/>
    <col min="4888" max="4888" width="2.109375" style="2" customWidth="1"/>
    <col min="4889" max="4889" width="16.77734375" style="2" customWidth="1"/>
    <col min="4890" max="4890" width="13.77734375" style="2" customWidth="1"/>
    <col min="4891" max="4900" width="8.6640625" style="2" customWidth="1"/>
    <col min="4901" max="4901" width="20.77734375" style="2" customWidth="1"/>
    <col min="4902" max="5130" width="10.33203125" style="2"/>
    <col min="5131" max="5132" width="0" style="2" hidden="1" customWidth="1"/>
    <col min="5133" max="5133" width="7.6640625" style="2" customWidth="1"/>
    <col min="5134" max="5134" width="4.21875" style="2" customWidth="1"/>
    <col min="5135" max="5135" width="98" style="2" customWidth="1"/>
    <col min="5136" max="5136" width="16.109375" style="2" customWidth="1"/>
    <col min="5137" max="5137" width="2" style="2" customWidth="1"/>
    <col min="5138" max="5138" width="15.88671875" style="2" customWidth="1"/>
    <col min="5139" max="5139" width="2" style="2" customWidth="1"/>
    <col min="5140" max="5140" width="13.33203125" style="2" customWidth="1"/>
    <col min="5141" max="5141" width="2" style="2" customWidth="1"/>
    <col min="5142" max="5142" width="13.33203125" style="2" customWidth="1"/>
    <col min="5143" max="5143" width="2.33203125" style="2" customWidth="1"/>
    <col min="5144" max="5144" width="2.109375" style="2" customWidth="1"/>
    <col min="5145" max="5145" width="16.77734375" style="2" customWidth="1"/>
    <col min="5146" max="5146" width="13.77734375" style="2" customWidth="1"/>
    <col min="5147" max="5156" width="8.6640625" style="2" customWidth="1"/>
    <col min="5157" max="5157" width="20.77734375" style="2" customWidth="1"/>
    <col min="5158" max="5386" width="10.33203125" style="2"/>
    <col min="5387" max="5388" width="0" style="2" hidden="1" customWidth="1"/>
    <col min="5389" max="5389" width="7.6640625" style="2" customWidth="1"/>
    <col min="5390" max="5390" width="4.21875" style="2" customWidth="1"/>
    <col min="5391" max="5391" width="98" style="2" customWidth="1"/>
    <col min="5392" max="5392" width="16.109375" style="2" customWidth="1"/>
    <col min="5393" max="5393" width="2" style="2" customWidth="1"/>
    <col min="5394" max="5394" width="15.88671875" style="2" customWidth="1"/>
    <col min="5395" max="5395" width="2" style="2" customWidth="1"/>
    <col min="5396" max="5396" width="13.33203125" style="2" customWidth="1"/>
    <col min="5397" max="5397" width="2" style="2" customWidth="1"/>
    <col min="5398" max="5398" width="13.33203125" style="2" customWidth="1"/>
    <col min="5399" max="5399" width="2.33203125" style="2" customWidth="1"/>
    <col min="5400" max="5400" width="2.109375" style="2" customWidth="1"/>
    <col min="5401" max="5401" width="16.77734375" style="2" customWidth="1"/>
    <col min="5402" max="5402" width="13.77734375" style="2" customWidth="1"/>
    <col min="5403" max="5412" width="8.6640625" style="2" customWidth="1"/>
    <col min="5413" max="5413" width="20.77734375" style="2" customWidth="1"/>
    <col min="5414" max="5642" width="10.33203125" style="2"/>
    <col min="5643" max="5644" width="0" style="2" hidden="1" customWidth="1"/>
    <col min="5645" max="5645" width="7.6640625" style="2" customWidth="1"/>
    <col min="5646" max="5646" width="4.21875" style="2" customWidth="1"/>
    <col min="5647" max="5647" width="98" style="2" customWidth="1"/>
    <col min="5648" max="5648" width="16.109375" style="2" customWidth="1"/>
    <col min="5649" max="5649" width="2" style="2" customWidth="1"/>
    <col min="5650" max="5650" width="15.88671875" style="2" customWidth="1"/>
    <col min="5651" max="5651" width="2" style="2" customWidth="1"/>
    <col min="5652" max="5652" width="13.33203125" style="2" customWidth="1"/>
    <col min="5653" max="5653" width="2" style="2" customWidth="1"/>
    <col min="5654" max="5654" width="13.33203125" style="2" customWidth="1"/>
    <col min="5655" max="5655" width="2.33203125" style="2" customWidth="1"/>
    <col min="5656" max="5656" width="2.109375" style="2" customWidth="1"/>
    <col min="5657" max="5657" width="16.77734375" style="2" customWidth="1"/>
    <col min="5658" max="5658" width="13.77734375" style="2" customWidth="1"/>
    <col min="5659" max="5668" width="8.6640625" style="2" customWidth="1"/>
    <col min="5669" max="5669" width="20.77734375" style="2" customWidth="1"/>
    <col min="5670" max="5898" width="10.33203125" style="2"/>
    <col min="5899" max="5900" width="0" style="2" hidden="1" customWidth="1"/>
    <col min="5901" max="5901" width="7.6640625" style="2" customWidth="1"/>
    <col min="5902" max="5902" width="4.21875" style="2" customWidth="1"/>
    <col min="5903" max="5903" width="98" style="2" customWidth="1"/>
    <col min="5904" max="5904" width="16.109375" style="2" customWidth="1"/>
    <col min="5905" max="5905" width="2" style="2" customWidth="1"/>
    <col min="5906" max="5906" width="15.88671875" style="2" customWidth="1"/>
    <col min="5907" max="5907" width="2" style="2" customWidth="1"/>
    <col min="5908" max="5908" width="13.33203125" style="2" customWidth="1"/>
    <col min="5909" max="5909" width="2" style="2" customWidth="1"/>
    <col min="5910" max="5910" width="13.33203125" style="2" customWidth="1"/>
    <col min="5911" max="5911" width="2.33203125" style="2" customWidth="1"/>
    <col min="5912" max="5912" width="2.109375" style="2" customWidth="1"/>
    <col min="5913" max="5913" width="16.77734375" style="2" customWidth="1"/>
    <col min="5914" max="5914" width="13.77734375" style="2" customWidth="1"/>
    <col min="5915" max="5924" width="8.6640625" style="2" customWidth="1"/>
    <col min="5925" max="5925" width="20.77734375" style="2" customWidth="1"/>
    <col min="5926" max="6154" width="10.33203125" style="2"/>
    <col min="6155" max="6156" width="0" style="2" hidden="1" customWidth="1"/>
    <col min="6157" max="6157" width="7.6640625" style="2" customWidth="1"/>
    <col min="6158" max="6158" width="4.21875" style="2" customWidth="1"/>
    <col min="6159" max="6159" width="98" style="2" customWidth="1"/>
    <col min="6160" max="6160" width="16.109375" style="2" customWidth="1"/>
    <col min="6161" max="6161" width="2" style="2" customWidth="1"/>
    <col min="6162" max="6162" width="15.88671875" style="2" customWidth="1"/>
    <col min="6163" max="6163" width="2" style="2" customWidth="1"/>
    <col min="6164" max="6164" width="13.33203125" style="2" customWidth="1"/>
    <col min="6165" max="6165" width="2" style="2" customWidth="1"/>
    <col min="6166" max="6166" width="13.33203125" style="2" customWidth="1"/>
    <col min="6167" max="6167" width="2.33203125" style="2" customWidth="1"/>
    <col min="6168" max="6168" width="2.109375" style="2" customWidth="1"/>
    <col min="6169" max="6169" width="16.77734375" style="2" customWidth="1"/>
    <col min="6170" max="6170" width="13.77734375" style="2" customWidth="1"/>
    <col min="6171" max="6180" width="8.6640625" style="2" customWidth="1"/>
    <col min="6181" max="6181" width="20.77734375" style="2" customWidth="1"/>
    <col min="6182" max="6410" width="10.33203125" style="2"/>
    <col min="6411" max="6412" width="0" style="2" hidden="1" customWidth="1"/>
    <col min="6413" max="6413" width="7.6640625" style="2" customWidth="1"/>
    <col min="6414" max="6414" width="4.21875" style="2" customWidth="1"/>
    <col min="6415" max="6415" width="98" style="2" customWidth="1"/>
    <col min="6416" max="6416" width="16.109375" style="2" customWidth="1"/>
    <col min="6417" max="6417" width="2" style="2" customWidth="1"/>
    <col min="6418" max="6418" width="15.88671875" style="2" customWidth="1"/>
    <col min="6419" max="6419" width="2" style="2" customWidth="1"/>
    <col min="6420" max="6420" width="13.33203125" style="2" customWidth="1"/>
    <col min="6421" max="6421" width="2" style="2" customWidth="1"/>
    <col min="6422" max="6422" width="13.33203125" style="2" customWidth="1"/>
    <col min="6423" max="6423" width="2.33203125" style="2" customWidth="1"/>
    <col min="6424" max="6424" width="2.109375" style="2" customWidth="1"/>
    <col min="6425" max="6425" width="16.77734375" style="2" customWidth="1"/>
    <col min="6426" max="6426" width="13.77734375" style="2" customWidth="1"/>
    <col min="6427" max="6436" width="8.6640625" style="2" customWidth="1"/>
    <col min="6437" max="6437" width="20.77734375" style="2" customWidth="1"/>
    <col min="6438" max="6666" width="10.33203125" style="2"/>
    <col min="6667" max="6668" width="0" style="2" hidden="1" customWidth="1"/>
    <col min="6669" max="6669" width="7.6640625" style="2" customWidth="1"/>
    <col min="6670" max="6670" width="4.21875" style="2" customWidth="1"/>
    <col min="6671" max="6671" width="98" style="2" customWidth="1"/>
    <col min="6672" max="6672" width="16.109375" style="2" customWidth="1"/>
    <col min="6673" max="6673" width="2" style="2" customWidth="1"/>
    <col min="6674" max="6674" width="15.88671875" style="2" customWidth="1"/>
    <col min="6675" max="6675" width="2" style="2" customWidth="1"/>
    <col min="6676" max="6676" width="13.33203125" style="2" customWidth="1"/>
    <col min="6677" max="6677" width="2" style="2" customWidth="1"/>
    <col min="6678" max="6678" width="13.33203125" style="2" customWidth="1"/>
    <col min="6679" max="6679" width="2.33203125" style="2" customWidth="1"/>
    <col min="6680" max="6680" width="2.109375" style="2" customWidth="1"/>
    <col min="6681" max="6681" width="16.77734375" style="2" customWidth="1"/>
    <col min="6682" max="6682" width="13.77734375" style="2" customWidth="1"/>
    <col min="6683" max="6692" width="8.6640625" style="2" customWidth="1"/>
    <col min="6693" max="6693" width="20.77734375" style="2" customWidth="1"/>
    <col min="6694" max="6922" width="10.33203125" style="2"/>
    <col min="6923" max="6924" width="0" style="2" hidden="1" customWidth="1"/>
    <col min="6925" max="6925" width="7.6640625" style="2" customWidth="1"/>
    <col min="6926" max="6926" width="4.21875" style="2" customWidth="1"/>
    <col min="6927" max="6927" width="98" style="2" customWidth="1"/>
    <col min="6928" max="6928" width="16.109375" style="2" customWidth="1"/>
    <col min="6929" max="6929" width="2" style="2" customWidth="1"/>
    <col min="6930" max="6930" width="15.88671875" style="2" customWidth="1"/>
    <col min="6931" max="6931" width="2" style="2" customWidth="1"/>
    <col min="6932" max="6932" width="13.33203125" style="2" customWidth="1"/>
    <col min="6933" max="6933" width="2" style="2" customWidth="1"/>
    <col min="6934" max="6934" width="13.33203125" style="2" customWidth="1"/>
    <col min="6935" max="6935" width="2.33203125" style="2" customWidth="1"/>
    <col min="6936" max="6936" width="2.109375" style="2" customWidth="1"/>
    <col min="6937" max="6937" width="16.77734375" style="2" customWidth="1"/>
    <col min="6938" max="6938" width="13.77734375" style="2" customWidth="1"/>
    <col min="6939" max="6948" width="8.6640625" style="2" customWidth="1"/>
    <col min="6949" max="6949" width="20.77734375" style="2" customWidth="1"/>
    <col min="6950" max="7178" width="10.33203125" style="2"/>
    <col min="7179" max="7180" width="0" style="2" hidden="1" customWidth="1"/>
    <col min="7181" max="7181" width="7.6640625" style="2" customWidth="1"/>
    <col min="7182" max="7182" width="4.21875" style="2" customWidth="1"/>
    <col min="7183" max="7183" width="98" style="2" customWidth="1"/>
    <col min="7184" max="7184" width="16.109375" style="2" customWidth="1"/>
    <col min="7185" max="7185" width="2" style="2" customWidth="1"/>
    <col min="7186" max="7186" width="15.88671875" style="2" customWidth="1"/>
    <col min="7187" max="7187" width="2" style="2" customWidth="1"/>
    <col min="7188" max="7188" width="13.33203125" style="2" customWidth="1"/>
    <col min="7189" max="7189" width="2" style="2" customWidth="1"/>
    <col min="7190" max="7190" width="13.33203125" style="2" customWidth="1"/>
    <col min="7191" max="7191" width="2.33203125" style="2" customWidth="1"/>
    <col min="7192" max="7192" width="2.109375" style="2" customWidth="1"/>
    <col min="7193" max="7193" width="16.77734375" style="2" customWidth="1"/>
    <col min="7194" max="7194" width="13.77734375" style="2" customWidth="1"/>
    <col min="7195" max="7204" width="8.6640625" style="2" customWidth="1"/>
    <col min="7205" max="7205" width="20.77734375" style="2" customWidth="1"/>
    <col min="7206" max="7434" width="10.33203125" style="2"/>
    <col min="7435" max="7436" width="0" style="2" hidden="1" customWidth="1"/>
    <col min="7437" max="7437" width="7.6640625" style="2" customWidth="1"/>
    <col min="7438" max="7438" width="4.21875" style="2" customWidth="1"/>
    <col min="7439" max="7439" width="98" style="2" customWidth="1"/>
    <col min="7440" max="7440" width="16.109375" style="2" customWidth="1"/>
    <col min="7441" max="7441" width="2" style="2" customWidth="1"/>
    <col min="7442" max="7442" width="15.88671875" style="2" customWidth="1"/>
    <col min="7443" max="7443" width="2" style="2" customWidth="1"/>
    <col min="7444" max="7444" width="13.33203125" style="2" customWidth="1"/>
    <col min="7445" max="7445" width="2" style="2" customWidth="1"/>
    <col min="7446" max="7446" width="13.33203125" style="2" customWidth="1"/>
    <col min="7447" max="7447" width="2.33203125" style="2" customWidth="1"/>
    <col min="7448" max="7448" width="2.109375" style="2" customWidth="1"/>
    <col min="7449" max="7449" width="16.77734375" style="2" customWidth="1"/>
    <col min="7450" max="7450" width="13.77734375" style="2" customWidth="1"/>
    <col min="7451" max="7460" width="8.6640625" style="2" customWidth="1"/>
    <col min="7461" max="7461" width="20.77734375" style="2" customWidth="1"/>
    <col min="7462" max="7690" width="10.33203125" style="2"/>
    <col min="7691" max="7692" width="0" style="2" hidden="1" customWidth="1"/>
    <col min="7693" max="7693" width="7.6640625" style="2" customWidth="1"/>
    <col min="7694" max="7694" width="4.21875" style="2" customWidth="1"/>
    <col min="7695" max="7695" width="98" style="2" customWidth="1"/>
    <col min="7696" max="7696" width="16.109375" style="2" customWidth="1"/>
    <col min="7697" max="7697" width="2" style="2" customWidth="1"/>
    <col min="7698" max="7698" width="15.88671875" style="2" customWidth="1"/>
    <col min="7699" max="7699" width="2" style="2" customWidth="1"/>
    <col min="7700" max="7700" width="13.33203125" style="2" customWidth="1"/>
    <col min="7701" max="7701" width="2" style="2" customWidth="1"/>
    <col min="7702" max="7702" width="13.33203125" style="2" customWidth="1"/>
    <col min="7703" max="7703" width="2.33203125" style="2" customWidth="1"/>
    <col min="7704" max="7704" width="2.109375" style="2" customWidth="1"/>
    <col min="7705" max="7705" width="16.77734375" style="2" customWidth="1"/>
    <col min="7706" max="7706" width="13.77734375" style="2" customWidth="1"/>
    <col min="7707" max="7716" width="8.6640625" style="2" customWidth="1"/>
    <col min="7717" max="7717" width="20.77734375" style="2" customWidth="1"/>
    <col min="7718" max="7946" width="10.33203125" style="2"/>
    <col min="7947" max="7948" width="0" style="2" hidden="1" customWidth="1"/>
    <col min="7949" max="7949" width="7.6640625" style="2" customWidth="1"/>
    <col min="7950" max="7950" width="4.21875" style="2" customWidth="1"/>
    <col min="7951" max="7951" width="98" style="2" customWidth="1"/>
    <col min="7952" max="7952" width="16.109375" style="2" customWidth="1"/>
    <col min="7953" max="7953" width="2" style="2" customWidth="1"/>
    <col min="7954" max="7954" width="15.88671875" style="2" customWidth="1"/>
    <col min="7955" max="7955" width="2" style="2" customWidth="1"/>
    <col min="7956" max="7956" width="13.33203125" style="2" customWidth="1"/>
    <col min="7957" max="7957" width="2" style="2" customWidth="1"/>
    <col min="7958" max="7958" width="13.33203125" style="2" customWidth="1"/>
    <col min="7959" max="7959" width="2.33203125" style="2" customWidth="1"/>
    <col min="7960" max="7960" width="2.109375" style="2" customWidth="1"/>
    <col min="7961" max="7961" width="16.77734375" style="2" customWidth="1"/>
    <col min="7962" max="7962" width="13.77734375" style="2" customWidth="1"/>
    <col min="7963" max="7972" width="8.6640625" style="2" customWidth="1"/>
    <col min="7973" max="7973" width="20.77734375" style="2" customWidth="1"/>
    <col min="7974" max="8202" width="10.33203125" style="2"/>
    <col min="8203" max="8204" width="0" style="2" hidden="1" customWidth="1"/>
    <col min="8205" max="8205" width="7.6640625" style="2" customWidth="1"/>
    <col min="8206" max="8206" width="4.21875" style="2" customWidth="1"/>
    <col min="8207" max="8207" width="98" style="2" customWidth="1"/>
    <col min="8208" max="8208" width="16.109375" style="2" customWidth="1"/>
    <col min="8209" max="8209" width="2" style="2" customWidth="1"/>
    <col min="8210" max="8210" width="15.88671875" style="2" customWidth="1"/>
    <col min="8211" max="8211" width="2" style="2" customWidth="1"/>
    <col min="8212" max="8212" width="13.33203125" style="2" customWidth="1"/>
    <col min="8213" max="8213" width="2" style="2" customWidth="1"/>
    <col min="8214" max="8214" width="13.33203125" style="2" customWidth="1"/>
    <col min="8215" max="8215" width="2.33203125" style="2" customWidth="1"/>
    <col min="8216" max="8216" width="2.109375" style="2" customWidth="1"/>
    <col min="8217" max="8217" width="16.77734375" style="2" customWidth="1"/>
    <col min="8218" max="8218" width="13.77734375" style="2" customWidth="1"/>
    <col min="8219" max="8228" width="8.6640625" style="2" customWidth="1"/>
    <col min="8229" max="8229" width="20.77734375" style="2" customWidth="1"/>
    <col min="8230" max="8458" width="10.33203125" style="2"/>
    <col min="8459" max="8460" width="0" style="2" hidden="1" customWidth="1"/>
    <col min="8461" max="8461" width="7.6640625" style="2" customWidth="1"/>
    <col min="8462" max="8462" width="4.21875" style="2" customWidth="1"/>
    <col min="8463" max="8463" width="98" style="2" customWidth="1"/>
    <col min="8464" max="8464" width="16.109375" style="2" customWidth="1"/>
    <col min="8465" max="8465" width="2" style="2" customWidth="1"/>
    <col min="8466" max="8466" width="15.88671875" style="2" customWidth="1"/>
    <col min="8467" max="8467" width="2" style="2" customWidth="1"/>
    <col min="8468" max="8468" width="13.33203125" style="2" customWidth="1"/>
    <col min="8469" max="8469" width="2" style="2" customWidth="1"/>
    <col min="8470" max="8470" width="13.33203125" style="2" customWidth="1"/>
    <col min="8471" max="8471" width="2.33203125" style="2" customWidth="1"/>
    <col min="8472" max="8472" width="2.109375" style="2" customWidth="1"/>
    <col min="8473" max="8473" width="16.77734375" style="2" customWidth="1"/>
    <col min="8474" max="8474" width="13.77734375" style="2" customWidth="1"/>
    <col min="8475" max="8484" width="8.6640625" style="2" customWidth="1"/>
    <col min="8485" max="8485" width="20.77734375" style="2" customWidth="1"/>
    <col min="8486" max="8714" width="10.33203125" style="2"/>
    <col min="8715" max="8716" width="0" style="2" hidden="1" customWidth="1"/>
    <col min="8717" max="8717" width="7.6640625" style="2" customWidth="1"/>
    <col min="8718" max="8718" width="4.21875" style="2" customWidth="1"/>
    <col min="8719" max="8719" width="98" style="2" customWidth="1"/>
    <col min="8720" max="8720" width="16.109375" style="2" customWidth="1"/>
    <col min="8721" max="8721" width="2" style="2" customWidth="1"/>
    <col min="8722" max="8722" width="15.88671875" style="2" customWidth="1"/>
    <col min="8723" max="8723" width="2" style="2" customWidth="1"/>
    <col min="8724" max="8724" width="13.33203125" style="2" customWidth="1"/>
    <col min="8725" max="8725" width="2" style="2" customWidth="1"/>
    <col min="8726" max="8726" width="13.33203125" style="2" customWidth="1"/>
    <col min="8727" max="8727" width="2.33203125" style="2" customWidth="1"/>
    <col min="8728" max="8728" width="2.109375" style="2" customWidth="1"/>
    <col min="8729" max="8729" width="16.77734375" style="2" customWidth="1"/>
    <col min="8730" max="8730" width="13.77734375" style="2" customWidth="1"/>
    <col min="8731" max="8740" width="8.6640625" style="2" customWidth="1"/>
    <col min="8741" max="8741" width="20.77734375" style="2" customWidth="1"/>
    <col min="8742" max="8970" width="10.33203125" style="2"/>
    <col min="8971" max="8972" width="0" style="2" hidden="1" customWidth="1"/>
    <col min="8973" max="8973" width="7.6640625" style="2" customWidth="1"/>
    <col min="8974" max="8974" width="4.21875" style="2" customWidth="1"/>
    <col min="8975" max="8975" width="98" style="2" customWidth="1"/>
    <col min="8976" max="8976" width="16.109375" style="2" customWidth="1"/>
    <col min="8977" max="8977" width="2" style="2" customWidth="1"/>
    <col min="8978" max="8978" width="15.88671875" style="2" customWidth="1"/>
    <col min="8979" max="8979" width="2" style="2" customWidth="1"/>
    <col min="8980" max="8980" width="13.33203125" style="2" customWidth="1"/>
    <col min="8981" max="8981" width="2" style="2" customWidth="1"/>
    <col min="8982" max="8982" width="13.33203125" style="2" customWidth="1"/>
    <col min="8983" max="8983" width="2.33203125" style="2" customWidth="1"/>
    <col min="8984" max="8984" width="2.109375" style="2" customWidth="1"/>
    <col min="8985" max="8985" width="16.77734375" style="2" customWidth="1"/>
    <col min="8986" max="8986" width="13.77734375" style="2" customWidth="1"/>
    <col min="8987" max="8996" width="8.6640625" style="2" customWidth="1"/>
    <col min="8997" max="8997" width="20.77734375" style="2" customWidth="1"/>
    <col min="8998" max="9226" width="10.33203125" style="2"/>
    <col min="9227" max="9228" width="0" style="2" hidden="1" customWidth="1"/>
    <col min="9229" max="9229" width="7.6640625" style="2" customWidth="1"/>
    <col min="9230" max="9230" width="4.21875" style="2" customWidth="1"/>
    <col min="9231" max="9231" width="98" style="2" customWidth="1"/>
    <col min="9232" max="9232" width="16.109375" style="2" customWidth="1"/>
    <col min="9233" max="9233" width="2" style="2" customWidth="1"/>
    <col min="9234" max="9234" width="15.88671875" style="2" customWidth="1"/>
    <col min="9235" max="9235" width="2" style="2" customWidth="1"/>
    <col min="9236" max="9236" width="13.33203125" style="2" customWidth="1"/>
    <col min="9237" max="9237" width="2" style="2" customWidth="1"/>
    <col min="9238" max="9238" width="13.33203125" style="2" customWidth="1"/>
    <col min="9239" max="9239" width="2.33203125" style="2" customWidth="1"/>
    <col min="9240" max="9240" width="2.109375" style="2" customWidth="1"/>
    <col min="9241" max="9241" width="16.77734375" style="2" customWidth="1"/>
    <col min="9242" max="9242" width="13.77734375" style="2" customWidth="1"/>
    <col min="9243" max="9252" width="8.6640625" style="2" customWidth="1"/>
    <col min="9253" max="9253" width="20.77734375" style="2" customWidth="1"/>
    <col min="9254" max="9482" width="10.33203125" style="2"/>
    <col min="9483" max="9484" width="0" style="2" hidden="1" customWidth="1"/>
    <col min="9485" max="9485" width="7.6640625" style="2" customWidth="1"/>
    <col min="9486" max="9486" width="4.21875" style="2" customWidth="1"/>
    <col min="9487" max="9487" width="98" style="2" customWidth="1"/>
    <col min="9488" max="9488" width="16.109375" style="2" customWidth="1"/>
    <col min="9489" max="9489" width="2" style="2" customWidth="1"/>
    <col min="9490" max="9490" width="15.88671875" style="2" customWidth="1"/>
    <col min="9491" max="9491" width="2" style="2" customWidth="1"/>
    <col min="9492" max="9492" width="13.33203125" style="2" customWidth="1"/>
    <col min="9493" max="9493" width="2" style="2" customWidth="1"/>
    <col min="9494" max="9494" width="13.33203125" style="2" customWidth="1"/>
    <col min="9495" max="9495" width="2.33203125" style="2" customWidth="1"/>
    <col min="9496" max="9496" width="2.109375" style="2" customWidth="1"/>
    <col min="9497" max="9497" width="16.77734375" style="2" customWidth="1"/>
    <col min="9498" max="9498" width="13.77734375" style="2" customWidth="1"/>
    <col min="9499" max="9508" width="8.6640625" style="2" customWidth="1"/>
    <col min="9509" max="9509" width="20.77734375" style="2" customWidth="1"/>
    <col min="9510" max="9738" width="10.33203125" style="2"/>
    <col min="9739" max="9740" width="0" style="2" hidden="1" customWidth="1"/>
    <col min="9741" max="9741" width="7.6640625" style="2" customWidth="1"/>
    <col min="9742" max="9742" width="4.21875" style="2" customWidth="1"/>
    <col min="9743" max="9743" width="98" style="2" customWidth="1"/>
    <col min="9744" max="9744" width="16.109375" style="2" customWidth="1"/>
    <col min="9745" max="9745" width="2" style="2" customWidth="1"/>
    <col min="9746" max="9746" width="15.88671875" style="2" customWidth="1"/>
    <col min="9747" max="9747" width="2" style="2" customWidth="1"/>
    <col min="9748" max="9748" width="13.33203125" style="2" customWidth="1"/>
    <col min="9749" max="9749" width="2" style="2" customWidth="1"/>
    <col min="9750" max="9750" width="13.33203125" style="2" customWidth="1"/>
    <col min="9751" max="9751" width="2.33203125" style="2" customWidth="1"/>
    <col min="9752" max="9752" width="2.109375" style="2" customWidth="1"/>
    <col min="9753" max="9753" width="16.77734375" style="2" customWidth="1"/>
    <col min="9754" max="9754" width="13.77734375" style="2" customWidth="1"/>
    <col min="9755" max="9764" width="8.6640625" style="2" customWidth="1"/>
    <col min="9765" max="9765" width="20.77734375" style="2" customWidth="1"/>
    <col min="9766" max="9994" width="10.33203125" style="2"/>
    <col min="9995" max="9996" width="0" style="2" hidden="1" customWidth="1"/>
    <col min="9997" max="9997" width="7.6640625" style="2" customWidth="1"/>
    <col min="9998" max="9998" width="4.21875" style="2" customWidth="1"/>
    <col min="9999" max="9999" width="98" style="2" customWidth="1"/>
    <col min="10000" max="10000" width="16.109375" style="2" customWidth="1"/>
    <col min="10001" max="10001" width="2" style="2" customWidth="1"/>
    <col min="10002" max="10002" width="15.88671875" style="2" customWidth="1"/>
    <col min="10003" max="10003" width="2" style="2" customWidth="1"/>
    <col min="10004" max="10004" width="13.33203125" style="2" customWidth="1"/>
    <col min="10005" max="10005" width="2" style="2" customWidth="1"/>
    <col min="10006" max="10006" width="13.33203125" style="2" customWidth="1"/>
    <col min="10007" max="10007" width="2.33203125" style="2" customWidth="1"/>
    <col min="10008" max="10008" width="2.109375" style="2" customWidth="1"/>
    <col min="10009" max="10009" width="16.77734375" style="2" customWidth="1"/>
    <col min="10010" max="10010" width="13.77734375" style="2" customWidth="1"/>
    <col min="10011" max="10020" width="8.6640625" style="2" customWidth="1"/>
    <col min="10021" max="10021" width="20.77734375" style="2" customWidth="1"/>
    <col min="10022" max="10250" width="10.33203125" style="2"/>
    <col min="10251" max="10252" width="0" style="2" hidden="1" customWidth="1"/>
    <col min="10253" max="10253" width="7.6640625" style="2" customWidth="1"/>
    <col min="10254" max="10254" width="4.21875" style="2" customWidth="1"/>
    <col min="10255" max="10255" width="98" style="2" customWidth="1"/>
    <col min="10256" max="10256" width="16.109375" style="2" customWidth="1"/>
    <col min="10257" max="10257" width="2" style="2" customWidth="1"/>
    <col min="10258" max="10258" width="15.88671875" style="2" customWidth="1"/>
    <col min="10259" max="10259" width="2" style="2" customWidth="1"/>
    <col min="10260" max="10260" width="13.33203125" style="2" customWidth="1"/>
    <col min="10261" max="10261" width="2" style="2" customWidth="1"/>
    <col min="10262" max="10262" width="13.33203125" style="2" customWidth="1"/>
    <col min="10263" max="10263" width="2.33203125" style="2" customWidth="1"/>
    <col min="10264" max="10264" width="2.109375" style="2" customWidth="1"/>
    <col min="10265" max="10265" width="16.77734375" style="2" customWidth="1"/>
    <col min="10266" max="10266" width="13.77734375" style="2" customWidth="1"/>
    <col min="10267" max="10276" width="8.6640625" style="2" customWidth="1"/>
    <col min="10277" max="10277" width="20.77734375" style="2" customWidth="1"/>
    <col min="10278" max="10506" width="10.33203125" style="2"/>
    <col min="10507" max="10508" width="0" style="2" hidden="1" customWidth="1"/>
    <col min="10509" max="10509" width="7.6640625" style="2" customWidth="1"/>
    <col min="10510" max="10510" width="4.21875" style="2" customWidth="1"/>
    <col min="10511" max="10511" width="98" style="2" customWidth="1"/>
    <col min="10512" max="10512" width="16.109375" style="2" customWidth="1"/>
    <col min="10513" max="10513" width="2" style="2" customWidth="1"/>
    <col min="10514" max="10514" width="15.88671875" style="2" customWidth="1"/>
    <col min="10515" max="10515" width="2" style="2" customWidth="1"/>
    <col min="10516" max="10516" width="13.33203125" style="2" customWidth="1"/>
    <col min="10517" max="10517" width="2" style="2" customWidth="1"/>
    <col min="10518" max="10518" width="13.33203125" style="2" customWidth="1"/>
    <col min="10519" max="10519" width="2.33203125" style="2" customWidth="1"/>
    <col min="10520" max="10520" width="2.109375" style="2" customWidth="1"/>
    <col min="10521" max="10521" width="16.77734375" style="2" customWidth="1"/>
    <col min="10522" max="10522" width="13.77734375" style="2" customWidth="1"/>
    <col min="10523" max="10532" width="8.6640625" style="2" customWidth="1"/>
    <col min="10533" max="10533" width="20.77734375" style="2" customWidth="1"/>
    <col min="10534" max="10762" width="10.33203125" style="2"/>
    <col min="10763" max="10764" width="0" style="2" hidden="1" customWidth="1"/>
    <col min="10765" max="10765" width="7.6640625" style="2" customWidth="1"/>
    <col min="10766" max="10766" width="4.21875" style="2" customWidth="1"/>
    <col min="10767" max="10767" width="98" style="2" customWidth="1"/>
    <col min="10768" max="10768" width="16.109375" style="2" customWidth="1"/>
    <col min="10769" max="10769" width="2" style="2" customWidth="1"/>
    <col min="10770" max="10770" width="15.88671875" style="2" customWidth="1"/>
    <col min="10771" max="10771" width="2" style="2" customWidth="1"/>
    <col min="10772" max="10772" width="13.33203125" style="2" customWidth="1"/>
    <col min="10773" max="10773" width="2" style="2" customWidth="1"/>
    <col min="10774" max="10774" width="13.33203125" style="2" customWidth="1"/>
    <col min="10775" max="10775" width="2.33203125" style="2" customWidth="1"/>
    <col min="10776" max="10776" width="2.109375" style="2" customWidth="1"/>
    <col min="10777" max="10777" width="16.77734375" style="2" customWidth="1"/>
    <col min="10778" max="10778" width="13.77734375" style="2" customWidth="1"/>
    <col min="10779" max="10788" width="8.6640625" style="2" customWidth="1"/>
    <col min="10789" max="10789" width="20.77734375" style="2" customWidth="1"/>
    <col min="10790" max="11018" width="10.33203125" style="2"/>
    <col min="11019" max="11020" width="0" style="2" hidden="1" customWidth="1"/>
    <col min="11021" max="11021" width="7.6640625" style="2" customWidth="1"/>
    <col min="11022" max="11022" width="4.21875" style="2" customWidth="1"/>
    <col min="11023" max="11023" width="98" style="2" customWidth="1"/>
    <col min="11024" max="11024" width="16.109375" style="2" customWidth="1"/>
    <col min="11025" max="11025" width="2" style="2" customWidth="1"/>
    <col min="11026" max="11026" width="15.88671875" style="2" customWidth="1"/>
    <col min="11027" max="11027" width="2" style="2" customWidth="1"/>
    <col min="11028" max="11028" width="13.33203125" style="2" customWidth="1"/>
    <col min="11029" max="11029" width="2" style="2" customWidth="1"/>
    <col min="11030" max="11030" width="13.33203125" style="2" customWidth="1"/>
    <col min="11031" max="11031" width="2.33203125" style="2" customWidth="1"/>
    <col min="11032" max="11032" width="2.109375" style="2" customWidth="1"/>
    <col min="11033" max="11033" width="16.77734375" style="2" customWidth="1"/>
    <col min="11034" max="11034" width="13.77734375" style="2" customWidth="1"/>
    <col min="11035" max="11044" width="8.6640625" style="2" customWidth="1"/>
    <col min="11045" max="11045" width="20.77734375" style="2" customWidth="1"/>
    <col min="11046" max="11274" width="10.33203125" style="2"/>
    <col min="11275" max="11276" width="0" style="2" hidden="1" customWidth="1"/>
    <col min="11277" max="11277" width="7.6640625" style="2" customWidth="1"/>
    <col min="11278" max="11278" width="4.21875" style="2" customWidth="1"/>
    <col min="11279" max="11279" width="98" style="2" customWidth="1"/>
    <col min="11280" max="11280" width="16.109375" style="2" customWidth="1"/>
    <col min="11281" max="11281" width="2" style="2" customWidth="1"/>
    <col min="11282" max="11282" width="15.88671875" style="2" customWidth="1"/>
    <col min="11283" max="11283" width="2" style="2" customWidth="1"/>
    <col min="11284" max="11284" width="13.33203125" style="2" customWidth="1"/>
    <col min="11285" max="11285" width="2" style="2" customWidth="1"/>
    <col min="11286" max="11286" width="13.33203125" style="2" customWidth="1"/>
    <col min="11287" max="11287" width="2.33203125" style="2" customWidth="1"/>
    <col min="11288" max="11288" width="2.109375" style="2" customWidth="1"/>
    <col min="11289" max="11289" width="16.77734375" style="2" customWidth="1"/>
    <col min="11290" max="11290" width="13.77734375" style="2" customWidth="1"/>
    <col min="11291" max="11300" width="8.6640625" style="2" customWidth="1"/>
    <col min="11301" max="11301" width="20.77734375" style="2" customWidth="1"/>
    <col min="11302" max="11530" width="10.33203125" style="2"/>
    <col min="11531" max="11532" width="0" style="2" hidden="1" customWidth="1"/>
    <col min="11533" max="11533" width="7.6640625" style="2" customWidth="1"/>
    <col min="11534" max="11534" width="4.21875" style="2" customWidth="1"/>
    <col min="11535" max="11535" width="98" style="2" customWidth="1"/>
    <col min="11536" max="11536" width="16.109375" style="2" customWidth="1"/>
    <col min="11537" max="11537" width="2" style="2" customWidth="1"/>
    <col min="11538" max="11538" width="15.88671875" style="2" customWidth="1"/>
    <col min="11539" max="11539" width="2" style="2" customWidth="1"/>
    <col min="11540" max="11540" width="13.33203125" style="2" customWidth="1"/>
    <col min="11541" max="11541" width="2" style="2" customWidth="1"/>
    <col min="11542" max="11542" width="13.33203125" style="2" customWidth="1"/>
    <col min="11543" max="11543" width="2.33203125" style="2" customWidth="1"/>
    <col min="11544" max="11544" width="2.109375" style="2" customWidth="1"/>
    <col min="11545" max="11545" width="16.77734375" style="2" customWidth="1"/>
    <col min="11546" max="11546" width="13.77734375" style="2" customWidth="1"/>
    <col min="11547" max="11556" width="8.6640625" style="2" customWidth="1"/>
    <col min="11557" max="11557" width="20.77734375" style="2" customWidth="1"/>
    <col min="11558" max="11786" width="10.33203125" style="2"/>
    <col min="11787" max="11788" width="0" style="2" hidden="1" customWidth="1"/>
    <col min="11789" max="11789" width="7.6640625" style="2" customWidth="1"/>
    <col min="11790" max="11790" width="4.21875" style="2" customWidth="1"/>
    <col min="11791" max="11791" width="98" style="2" customWidth="1"/>
    <col min="11792" max="11792" width="16.109375" style="2" customWidth="1"/>
    <col min="11793" max="11793" width="2" style="2" customWidth="1"/>
    <col min="11794" max="11794" width="15.88671875" style="2" customWidth="1"/>
    <col min="11795" max="11795" width="2" style="2" customWidth="1"/>
    <col min="11796" max="11796" width="13.33203125" style="2" customWidth="1"/>
    <col min="11797" max="11797" width="2" style="2" customWidth="1"/>
    <col min="11798" max="11798" width="13.33203125" style="2" customWidth="1"/>
    <col min="11799" max="11799" width="2.33203125" style="2" customWidth="1"/>
    <col min="11800" max="11800" width="2.109375" style="2" customWidth="1"/>
    <col min="11801" max="11801" width="16.77734375" style="2" customWidth="1"/>
    <col min="11802" max="11802" width="13.77734375" style="2" customWidth="1"/>
    <col min="11803" max="11812" width="8.6640625" style="2" customWidth="1"/>
    <col min="11813" max="11813" width="20.77734375" style="2" customWidth="1"/>
    <col min="11814" max="12042" width="10.33203125" style="2"/>
    <col min="12043" max="12044" width="0" style="2" hidden="1" customWidth="1"/>
    <col min="12045" max="12045" width="7.6640625" style="2" customWidth="1"/>
    <col min="12046" max="12046" width="4.21875" style="2" customWidth="1"/>
    <col min="12047" max="12047" width="98" style="2" customWidth="1"/>
    <col min="12048" max="12048" width="16.109375" style="2" customWidth="1"/>
    <col min="12049" max="12049" width="2" style="2" customWidth="1"/>
    <col min="12050" max="12050" width="15.88671875" style="2" customWidth="1"/>
    <col min="12051" max="12051" width="2" style="2" customWidth="1"/>
    <col min="12052" max="12052" width="13.33203125" style="2" customWidth="1"/>
    <col min="12053" max="12053" width="2" style="2" customWidth="1"/>
    <col min="12054" max="12054" width="13.33203125" style="2" customWidth="1"/>
    <col min="12055" max="12055" width="2.33203125" style="2" customWidth="1"/>
    <col min="12056" max="12056" width="2.109375" style="2" customWidth="1"/>
    <col min="12057" max="12057" width="16.77734375" style="2" customWidth="1"/>
    <col min="12058" max="12058" width="13.77734375" style="2" customWidth="1"/>
    <col min="12059" max="12068" width="8.6640625" style="2" customWidth="1"/>
    <col min="12069" max="12069" width="20.77734375" style="2" customWidth="1"/>
    <col min="12070" max="12298" width="10.33203125" style="2"/>
    <col min="12299" max="12300" width="0" style="2" hidden="1" customWidth="1"/>
    <col min="12301" max="12301" width="7.6640625" style="2" customWidth="1"/>
    <col min="12302" max="12302" width="4.21875" style="2" customWidth="1"/>
    <col min="12303" max="12303" width="98" style="2" customWidth="1"/>
    <col min="12304" max="12304" width="16.109375" style="2" customWidth="1"/>
    <col min="12305" max="12305" width="2" style="2" customWidth="1"/>
    <col min="12306" max="12306" width="15.88671875" style="2" customWidth="1"/>
    <col min="12307" max="12307" width="2" style="2" customWidth="1"/>
    <col min="12308" max="12308" width="13.33203125" style="2" customWidth="1"/>
    <col min="12309" max="12309" width="2" style="2" customWidth="1"/>
    <col min="12310" max="12310" width="13.33203125" style="2" customWidth="1"/>
    <col min="12311" max="12311" width="2.33203125" style="2" customWidth="1"/>
    <col min="12312" max="12312" width="2.109375" style="2" customWidth="1"/>
    <col min="12313" max="12313" width="16.77734375" style="2" customWidth="1"/>
    <col min="12314" max="12314" width="13.77734375" style="2" customWidth="1"/>
    <col min="12315" max="12324" width="8.6640625" style="2" customWidth="1"/>
    <col min="12325" max="12325" width="20.77734375" style="2" customWidth="1"/>
    <col min="12326" max="12554" width="10.33203125" style="2"/>
    <col min="12555" max="12556" width="0" style="2" hidden="1" customWidth="1"/>
    <col min="12557" max="12557" width="7.6640625" style="2" customWidth="1"/>
    <col min="12558" max="12558" width="4.21875" style="2" customWidth="1"/>
    <col min="12559" max="12559" width="98" style="2" customWidth="1"/>
    <col min="12560" max="12560" width="16.109375" style="2" customWidth="1"/>
    <col min="12561" max="12561" width="2" style="2" customWidth="1"/>
    <col min="12562" max="12562" width="15.88671875" style="2" customWidth="1"/>
    <col min="12563" max="12563" width="2" style="2" customWidth="1"/>
    <col min="12564" max="12564" width="13.33203125" style="2" customWidth="1"/>
    <col min="12565" max="12565" width="2" style="2" customWidth="1"/>
    <col min="12566" max="12566" width="13.33203125" style="2" customWidth="1"/>
    <col min="12567" max="12567" width="2.33203125" style="2" customWidth="1"/>
    <col min="12568" max="12568" width="2.109375" style="2" customWidth="1"/>
    <col min="12569" max="12569" width="16.77734375" style="2" customWidth="1"/>
    <col min="12570" max="12570" width="13.77734375" style="2" customWidth="1"/>
    <col min="12571" max="12580" width="8.6640625" style="2" customWidth="1"/>
    <col min="12581" max="12581" width="20.77734375" style="2" customWidth="1"/>
    <col min="12582" max="12810" width="10.33203125" style="2"/>
    <col min="12811" max="12812" width="0" style="2" hidden="1" customWidth="1"/>
    <col min="12813" max="12813" width="7.6640625" style="2" customWidth="1"/>
    <col min="12814" max="12814" width="4.21875" style="2" customWidth="1"/>
    <col min="12815" max="12815" width="98" style="2" customWidth="1"/>
    <col min="12816" max="12816" width="16.109375" style="2" customWidth="1"/>
    <col min="12817" max="12817" width="2" style="2" customWidth="1"/>
    <col min="12818" max="12818" width="15.88671875" style="2" customWidth="1"/>
    <col min="12819" max="12819" width="2" style="2" customWidth="1"/>
    <col min="12820" max="12820" width="13.33203125" style="2" customWidth="1"/>
    <col min="12821" max="12821" width="2" style="2" customWidth="1"/>
    <col min="12822" max="12822" width="13.33203125" style="2" customWidth="1"/>
    <col min="12823" max="12823" width="2.33203125" style="2" customWidth="1"/>
    <col min="12824" max="12824" width="2.109375" style="2" customWidth="1"/>
    <col min="12825" max="12825" width="16.77734375" style="2" customWidth="1"/>
    <col min="12826" max="12826" width="13.77734375" style="2" customWidth="1"/>
    <col min="12827" max="12836" width="8.6640625" style="2" customWidth="1"/>
    <col min="12837" max="12837" width="20.77734375" style="2" customWidth="1"/>
    <col min="12838" max="13066" width="10.33203125" style="2"/>
    <col min="13067" max="13068" width="0" style="2" hidden="1" customWidth="1"/>
    <col min="13069" max="13069" width="7.6640625" style="2" customWidth="1"/>
    <col min="13070" max="13070" width="4.21875" style="2" customWidth="1"/>
    <col min="13071" max="13071" width="98" style="2" customWidth="1"/>
    <col min="13072" max="13072" width="16.109375" style="2" customWidth="1"/>
    <col min="13073" max="13073" width="2" style="2" customWidth="1"/>
    <col min="13074" max="13074" width="15.88671875" style="2" customWidth="1"/>
    <col min="13075" max="13075" width="2" style="2" customWidth="1"/>
    <col min="13076" max="13076" width="13.33203125" style="2" customWidth="1"/>
    <col min="13077" max="13077" width="2" style="2" customWidth="1"/>
    <col min="13078" max="13078" width="13.33203125" style="2" customWidth="1"/>
    <col min="13079" max="13079" width="2.33203125" style="2" customWidth="1"/>
    <col min="13080" max="13080" width="2.109375" style="2" customWidth="1"/>
    <col min="13081" max="13081" width="16.77734375" style="2" customWidth="1"/>
    <col min="13082" max="13082" width="13.77734375" style="2" customWidth="1"/>
    <col min="13083" max="13092" width="8.6640625" style="2" customWidth="1"/>
    <col min="13093" max="13093" width="20.77734375" style="2" customWidth="1"/>
    <col min="13094" max="13322" width="10.33203125" style="2"/>
    <col min="13323" max="13324" width="0" style="2" hidden="1" customWidth="1"/>
    <col min="13325" max="13325" width="7.6640625" style="2" customWidth="1"/>
    <col min="13326" max="13326" width="4.21875" style="2" customWidth="1"/>
    <col min="13327" max="13327" width="98" style="2" customWidth="1"/>
    <col min="13328" max="13328" width="16.109375" style="2" customWidth="1"/>
    <col min="13329" max="13329" width="2" style="2" customWidth="1"/>
    <col min="13330" max="13330" width="15.88671875" style="2" customWidth="1"/>
    <col min="13331" max="13331" width="2" style="2" customWidth="1"/>
    <col min="13332" max="13332" width="13.33203125" style="2" customWidth="1"/>
    <col min="13333" max="13333" width="2" style="2" customWidth="1"/>
    <col min="13334" max="13334" width="13.33203125" style="2" customWidth="1"/>
    <col min="13335" max="13335" width="2.33203125" style="2" customWidth="1"/>
    <col min="13336" max="13336" width="2.109375" style="2" customWidth="1"/>
    <col min="13337" max="13337" width="16.77734375" style="2" customWidth="1"/>
    <col min="13338" max="13338" width="13.77734375" style="2" customWidth="1"/>
    <col min="13339" max="13348" width="8.6640625" style="2" customWidth="1"/>
    <col min="13349" max="13349" width="20.77734375" style="2" customWidth="1"/>
    <col min="13350" max="13578" width="10.33203125" style="2"/>
    <col min="13579" max="13580" width="0" style="2" hidden="1" customWidth="1"/>
    <col min="13581" max="13581" width="7.6640625" style="2" customWidth="1"/>
    <col min="13582" max="13582" width="4.21875" style="2" customWidth="1"/>
    <col min="13583" max="13583" width="98" style="2" customWidth="1"/>
    <col min="13584" max="13584" width="16.109375" style="2" customWidth="1"/>
    <col min="13585" max="13585" width="2" style="2" customWidth="1"/>
    <col min="13586" max="13586" width="15.88671875" style="2" customWidth="1"/>
    <col min="13587" max="13587" width="2" style="2" customWidth="1"/>
    <col min="13588" max="13588" width="13.33203125" style="2" customWidth="1"/>
    <col min="13589" max="13589" width="2" style="2" customWidth="1"/>
    <col min="13590" max="13590" width="13.33203125" style="2" customWidth="1"/>
    <col min="13591" max="13591" width="2.33203125" style="2" customWidth="1"/>
    <col min="13592" max="13592" width="2.109375" style="2" customWidth="1"/>
    <col min="13593" max="13593" width="16.77734375" style="2" customWidth="1"/>
    <col min="13594" max="13594" width="13.77734375" style="2" customWidth="1"/>
    <col min="13595" max="13604" width="8.6640625" style="2" customWidth="1"/>
    <col min="13605" max="13605" width="20.77734375" style="2" customWidth="1"/>
    <col min="13606" max="13834" width="10.33203125" style="2"/>
    <col min="13835" max="13836" width="0" style="2" hidden="1" customWidth="1"/>
    <col min="13837" max="13837" width="7.6640625" style="2" customWidth="1"/>
    <col min="13838" max="13838" width="4.21875" style="2" customWidth="1"/>
    <col min="13839" max="13839" width="98" style="2" customWidth="1"/>
    <col min="13840" max="13840" width="16.109375" style="2" customWidth="1"/>
    <col min="13841" max="13841" width="2" style="2" customWidth="1"/>
    <col min="13842" max="13842" width="15.88671875" style="2" customWidth="1"/>
    <col min="13843" max="13843" width="2" style="2" customWidth="1"/>
    <col min="13844" max="13844" width="13.33203125" style="2" customWidth="1"/>
    <col min="13845" max="13845" width="2" style="2" customWidth="1"/>
    <col min="13846" max="13846" width="13.33203125" style="2" customWidth="1"/>
    <col min="13847" max="13847" width="2.33203125" style="2" customWidth="1"/>
    <col min="13848" max="13848" width="2.109375" style="2" customWidth="1"/>
    <col min="13849" max="13849" width="16.77734375" style="2" customWidth="1"/>
    <col min="13850" max="13850" width="13.77734375" style="2" customWidth="1"/>
    <col min="13851" max="13860" width="8.6640625" style="2" customWidth="1"/>
    <col min="13861" max="13861" width="20.77734375" style="2" customWidth="1"/>
    <col min="13862" max="14090" width="10.33203125" style="2"/>
    <col min="14091" max="14092" width="0" style="2" hidden="1" customWidth="1"/>
    <col min="14093" max="14093" width="7.6640625" style="2" customWidth="1"/>
    <col min="14094" max="14094" width="4.21875" style="2" customWidth="1"/>
    <col min="14095" max="14095" width="98" style="2" customWidth="1"/>
    <col min="14096" max="14096" width="16.109375" style="2" customWidth="1"/>
    <col min="14097" max="14097" width="2" style="2" customWidth="1"/>
    <col min="14098" max="14098" width="15.88671875" style="2" customWidth="1"/>
    <col min="14099" max="14099" width="2" style="2" customWidth="1"/>
    <col min="14100" max="14100" width="13.33203125" style="2" customWidth="1"/>
    <col min="14101" max="14101" width="2" style="2" customWidth="1"/>
    <col min="14102" max="14102" width="13.33203125" style="2" customWidth="1"/>
    <col min="14103" max="14103" width="2.33203125" style="2" customWidth="1"/>
    <col min="14104" max="14104" width="2.109375" style="2" customWidth="1"/>
    <col min="14105" max="14105" width="16.77734375" style="2" customWidth="1"/>
    <col min="14106" max="14106" width="13.77734375" style="2" customWidth="1"/>
    <col min="14107" max="14116" width="8.6640625" style="2" customWidth="1"/>
    <col min="14117" max="14117" width="20.77734375" style="2" customWidth="1"/>
    <col min="14118" max="14346" width="10.33203125" style="2"/>
    <col min="14347" max="14348" width="0" style="2" hidden="1" customWidth="1"/>
    <col min="14349" max="14349" width="7.6640625" style="2" customWidth="1"/>
    <col min="14350" max="14350" width="4.21875" style="2" customWidth="1"/>
    <col min="14351" max="14351" width="98" style="2" customWidth="1"/>
    <col min="14352" max="14352" width="16.109375" style="2" customWidth="1"/>
    <col min="14353" max="14353" width="2" style="2" customWidth="1"/>
    <col min="14354" max="14354" width="15.88671875" style="2" customWidth="1"/>
    <col min="14355" max="14355" width="2" style="2" customWidth="1"/>
    <col min="14356" max="14356" width="13.33203125" style="2" customWidth="1"/>
    <col min="14357" max="14357" width="2" style="2" customWidth="1"/>
    <col min="14358" max="14358" width="13.33203125" style="2" customWidth="1"/>
    <col min="14359" max="14359" width="2.33203125" style="2" customWidth="1"/>
    <col min="14360" max="14360" width="2.109375" style="2" customWidth="1"/>
    <col min="14361" max="14361" width="16.77734375" style="2" customWidth="1"/>
    <col min="14362" max="14362" width="13.77734375" style="2" customWidth="1"/>
    <col min="14363" max="14372" width="8.6640625" style="2" customWidth="1"/>
    <col min="14373" max="14373" width="20.77734375" style="2" customWidth="1"/>
    <col min="14374" max="14602" width="10.33203125" style="2"/>
    <col min="14603" max="14604" width="0" style="2" hidden="1" customWidth="1"/>
    <col min="14605" max="14605" width="7.6640625" style="2" customWidth="1"/>
    <col min="14606" max="14606" width="4.21875" style="2" customWidth="1"/>
    <col min="14607" max="14607" width="98" style="2" customWidth="1"/>
    <col min="14608" max="14608" width="16.109375" style="2" customWidth="1"/>
    <col min="14609" max="14609" width="2" style="2" customWidth="1"/>
    <col min="14610" max="14610" width="15.88671875" style="2" customWidth="1"/>
    <col min="14611" max="14611" width="2" style="2" customWidth="1"/>
    <col min="14612" max="14612" width="13.33203125" style="2" customWidth="1"/>
    <col min="14613" max="14613" width="2" style="2" customWidth="1"/>
    <col min="14614" max="14614" width="13.33203125" style="2" customWidth="1"/>
    <col min="14615" max="14615" width="2.33203125" style="2" customWidth="1"/>
    <col min="14616" max="14616" width="2.109375" style="2" customWidth="1"/>
    <col min="14617" max="14617" width="16.77734375" style="2" customWidth="1"/>
    <col min="14618" max="14618" width="13.77734375" style="2" customWidth="1"/>
    <col min="14619" max="14628" width="8.6640625" style="2" customWidth="1"/>
    <col min="14629" max="14629" width="20.77734375" style="2" customWidth="1"/>
    <col min="14630" max="14858" width="10.33203125" style="2"/>
    <col min="14859" max="14860" width="0" style="2" hidden="1" customWidth="1"/>
    <col min="14861" max="14861" width="7.6640625" style="2" customWidth="1"/>
    <col min="14862" max="14862" width="4.21875" style="2" customWidth="1"/>
    <col min="14863" max="14863" width="98" style="2" customWidth="1"/>
    <col min="14864" max="14864" width="16.109375" style="2" customWidth="1"/>
    <col min="14865" max="14865" width="2" style="2" customWidth="1"/>
    <col min="14866" max="14866" width="15.88671875" style="2" customWidth="1"/>
    <col min="14867" max="14867" width="2" style="2" customWidth="1"/>
    <col min="14868" max="14868" width="13.33203125" style="2" customWidth="1"/>
    <col min="14869" max="14869" width="2" style="2" customWidth="1"/>
    <col min="14870" max="14870" width="13.33203125" style="2" customWidth="1"/>
    <col min="14871" max="14871" width="2.33203125" style="2" customWidth="1"/>
    <col min="14872" max="14872" width="2.109375" style="2" customWidth="1"/>
    <col min="14873" max="14873" width="16.77734375" style="2" customWidth="1"/>
    <col min="14874" max="14874" width="13.77734375" style="2" customWidth="1"/>
    <col min="14875" max="14884" width="8.6640625" style="2" customWidth="1"/>
    <col min="14885" max="14885" width="20.77734375" style="2" customWidth="1"/>
    <col min="14886" max="15114" width="10.33203125" style="2"/>
    <col min="15115" max="15116" width="0" style="2" hidden="1" customWidth="1"/>
    <col min="15117" max="15117" width="7.6640625" style="2" customWidth="1"/>
    <col min="15118" max="15118" width="4.21875" style="2" customWidth="1"/>
    <col min="15119" max="15119" width="98" style="2" customWidth="1"/>
    <col min="15120" max="15120" width="16.109375" style="2" customWidth="1"/>
    <col min="15121" max="15121" width="2" style="2" customWidth="1"/>
    <col min="15122" max="15122" width="15.88671875" style="2" customWidth="1"/>
    <col min="15123" max="15123" width="2" style="2" customWidth="1"/>
    <col min="15124" max="15124" width="13.33203125" style="2" customWidth="1"/>
    <col min="15125" max="15125" width="2" style="2" customWidth="1"/>
    <col min="15126" max="15126" width="13.33203125" style="2" customWidth="1"/>
    <col min="15127" max="15127" width="2.33203125" style="2" customWidth="1"/>
    <col min="15128" max="15128" width="2.109375" style="2" customWidth="1"/>
    <col min="15129" max="15129" width="16.77734375" style="2" customWidth="1"/>
    <col min="15130" max="15130" width="13.77734375" style="2" customWidth="1"/>
    <col min="15131" max="15140" width="8.6640625" style="2" customWidth="1"/>
    <col min="15141" max="15141" width="20.77734375" style="2" customWidth="1"/>
    <col min="15142" max="15370" width="10.33203125" style="2"/>
    <col min="15371" max="15372" width="0" style="2" hidden="1" customWidth="1"/>
    <col min="15373" max="15373" width="7.6640625" style="2" customWidth="1"/>
    <col min="15374" max="15374" width="4.21875" style="2" customWidth="1"/>
    <col min="15375" max="15375" width="98" style="2" customWidth="1"/>
    <col min="15376" max="15376" width="16.109375" style="2" customWidth="1"/>
    <col min="15377" max="15377" width="2" style="2" customWidth="1"/>
    <col min="15378" max="15378" width="15.88671875" style="2" customWidth="1"/>
    <col min="15379" max="15379" width="2" style="2" customWidth="1"/>
    <col min="15380" max="15380" width="13.33203125" style="2" customWidth="1"/>
    <col min="15381" max="15381" width="2" style="2" customWidth="1"/>
    <col min="15382" max="15382" width="13.33203125" style="2" customWidth="1"/>
    <col min="15383" max="15383" width="2.33203125" style="2" customWidth="1"/>
    <col min="15384" max="15384" width="2.109375" style="2" customWidth="1"/>
    <col min="15385" max="15385" width="16.77734375" style="2" customWidth="1"/>
    <col min="15386" max="15386" width="13.77734375" style="2" customWidth="1"/>
    <col min="15387" max="15396" width="8.6640625" style="2" customWidth="1"/>
    <col min="15397" max="15397" width="20.77734375" style="2" customWidth="1"/>
    <col min="15398" max="15626" width="10.33203125" style="2"/>
    <col min="15627" max="15628" width="0" style="2" hidden="1" customWidth="1"/>
    <col min="15629" max="15629" width="7.6640625" style="2" customWidth="1"/>
    <col min="15630" max="15630" width="4.21875" style="2" customWidth="1"/>
    <col min="15631" max="15631" width="98" style="2" customWidth="1"/>
    <col min="15632" max="15632" width="16.109375" style="2" customWidth="1"/>
    <col min="15633" max="15633" width="2" style="2" customWidth="1"/>
    <col min="15634" max="15634" width="15.88671875" style="2" customWidth="1"/>
    <col min="15635" max="15635" width="2" style="2" customWidth="1"/>
    <col min="15636" max="15636" width="13.33203125" style="2" customWidth="1"/>
    <col min="15637" max="15637" width="2" style="2" customWidth="1"/>
    <col min="15638" max="15638" width="13.33203125" style="2" customWidth="1"/>
    <col min="15639" max="15639" width="2.33203125" style="2" customWidth="1"/>
    <col min="15640" max="15640" width="2.109375" style="2" customWidth="1"/>
    <col min="15641" max="15641" width="16.77734375" style="2" customWidth="1"/>
    <col min="15642" max="15642" width="13.77734375" style="2" customWidth="1"/>
    <col min="15643" max="15652" width="8.6640625" style="2" customWidth="1"/>
    <col min="15653" max="15653" width="20.77734375" style="2" customWidth="1"/>
    <col min="15654" max="15882" width="10.33203125" style="2"/>
    <col min="15883" max="15884" width="0" style="2" hidden="1" customWidth="1"/>
    <col min="15885" max="15885" width="7.6640625" style="2" customWidth="1"/>
    <col min="15886" max="15886" width="4.21875" style="2" customWidth="1"/>
    <col min="15887" max="15887" width="98" style="2" customWidth="1"/>
    <col min="15888" max="15888" width="16.109375" style="2" customWidth="1"/>
    <col min="15889" max="15889" width="2" style="2" customWidth="1"/>
    <col min="15890" max="15890" width="15.88671875" style="2" customWidth="1"/>
    <col min="15891" max="15891" width="2" style="2" customWidth="1"/>
    <col min="15892" max="15892" width="13.33203125" style="2" customWidth="1"/>
    <col min="15893" max="15893" width="2" style="2" customWidth="1"/>
    <col min="15894" max="15894" width="13.33203125" style="2" customWidth="1"/>
    <col min="15895" max="15895" width="2.33203125" style="2" customWidth="1"/>
    <col min="15896" max="15896" width="2.109375" style="2" customWidth="1"/>
    <col min="15897" max="15897" width="16.77734375" style="2" customWidth="1"/>
    <col min="15898" max="15898" width="13.77734375" style="2" customWidth="1"/>
    <col min="15899" max="15908" width="8.6640625" style="2" customWidth="1"/>
    <col min="15909" max="15909" width="20.77734375" style="2" customWidth="1"/>
    <col min="15910" max="16138" width="10.33203125" style="2"/>
    <col min="16139" max="16140" width="0" style="2" hidden="1" customWidth="1"/>
    <col min="16141" max="16141" width="7.6640625" style="2" customWidth="1"/>
    <col min="16142" max="16142" width="4.21875" style="2" customWidth="1"/>
    <col min="16143" max="16143" width="98" style="2" customWidth="1"/>
    <col min="16144" max="16144" width="16.109375" style="2" customWidth="1"/>
    <col min="16145" max="16145" width="2" style="2" customWidth="1"/>
    <col min="16146" max="16146" width="15.88671875" style="2" customWidth="1"/>
    <col min="16147" max="16147" width="2" style="2" customWidth="1"/>
    <col min="16148" max="16148" width="13.33203125" style="2" customWidth="1"/>
    <col min="16149" max="16149" width="2" style="2" customWidth="1"/>
    <col min="16150" max="16150" width="13.33203125" style="2" customWidth="1"/>
    <col min="16151" max="16151" width="2.33203125" style="2" customWidth="1"/>
    <col min="16152" max="16152" width="2.109375" style="2" customWidth="1"/>
    <col min="16153" max="16153" width="16.77734375" style="2" customWidth="1"/>
    <col min="16154" max="16154" width="13.77734375" style="2" customWidth="1"/>
    <col min="16155" max="16164" width="8.6640625" style="2" customWidth="1"/>
    <col min="16165" max="16165" width="20.77734375" style="2" customWidth="1"/>
    <col min="16166" max="16384" width="10.33203125" style="2"/>
  </cols>
  <sheetData>
    <row r="1" spans="1:25" ht="30">
      <c r="A1" s="18" t="e">
        <f>#REF!</f>
        <v>#REF!</v>
      </c>
      <c r="B1" s="48"/>
      <c r="C1" s="48"/>
      <c r="D1" s="48"/>
      <c r="E1" s="48"/>
      <c r="F1" s="48"/>
      <c r="G1" s="48"/>
      <c r="H1" s="18"/>
      <c r="I1" s="18"/>
      <c r="J1" s="18"/>
      <c r="K1" s="18"/>
      <c r="L1" s="18"/>
      <c r="M1" s="18"/>
      <c r="N1" s="18"/>
      <c r="O1" s="16"/>
      <c r="P1" s="19"/>
      <c r="Q1" s="19"/>
      <c r="R1" s="19"/>
      <c r="S1" s="19"/>
      <c r="T1" s="19"/>
      <c r="U1" s="19"/>
      <c r="V1" s="19"/>
      <c r="W1" s="19"/>
      <c r="X1" s="46"/>
      <c r="Y1" s="46"/>
    </row>
    <row r="2" spans="1:25" ht="23.25">
      <c r="A2" s="47" t="s">
        <v>77</v>
      </c>
      <c r="B2" s="50"/>
      <c r="C2" s="50"/>
      <c r="D2" s="50"/>
      <c r="E2" s="50"/>
      <c r="F2" s="50"/>
      <c r="G2" s="50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U2" s="19"/>
      <c r="V2" s="19"/>
      <c r="W2" s="19"/>
      <c r="X2" s="46"/>
      <c r="Y2" s="46"/>
    </row>
    <row r="3" spans="1:25" ht="23.25">
      <c r="A3" s="20" t="s">
        <v>78</v>
      </c>
      <c r="B3" s="50"/>
      <c r="C3" s="50"/>
      <c r="D3" s="50"/>
      <c r="E3" s="50"/>
      <c r="F3" s="50"/>
      <c r="G3" s="50"/>
      <c r="H3" s="20"/>
      <c r="I3" s="20"/>
      <c r="J3" s="20"/>
      <c r="K3" s="20"/>
      <c r="L3" s="20"/>
      <c r="M3" s="20"/>
      <c r="N3" s="20"/>
      <c r="O3" s="16"/>
      <c r="P3" s="20"/>
      <c r="Q3" s="20"/>
      <c r="R3" s="20"/>
      <c r="S3" s="20"/>
      <c r="T3" s="20"/>
      <c r="U3" s="19"/>
      <c r="V3" s="19"/>
      <c r="W3" s="19"/>
      <c r="X3" s="46"/>
      <c r="Y3" s="46"/>
    </row>
    <row r="4" spans="1:25" ht="23.25">
      <c r="A4" s="20" t="e">
        <f>#REF!</f>
        <v>#REF!</v>
      </c>
      <c r="B4" s="50"/>
      <c r="C4" s="50"/>
      <c r="D4" s="50"/>
      <c r="E4" s="50"/>
      <c r="F4" s="50"/>
      <c r="G4" s="50"/>
      <c r="H4" s="20"/>
      <c r="I4" s="20"/>
      <c r="J4" s="20"/>
      <c r="K4" s="20"/>
      <c r="L4" s="20"/>
      <c r="M4" s="20"/>
      <c r="N4" s="20"/>
      <c r="O4" s="16"/>
      <c r="P4" s="25"/>
      <c r="Q4" s="25"/>
      <c r="R4" s="25"/>
      <c r="S4" s="19"/>
      <c r="T4" s="19"/>
      <c r="U4" s="19"/>
      <c r="V4" s="19"/>
      <c r="W4" s="19"/>
      <c r="X4" s="46"/>
      <c r="Y4" s="46"/>
    </row>
    <row r="5" spans="1:25" ht="29.25" customHeight="1">
      <c r="A5" s="16"/>
      <c r="B5" s="49"/>
      <c r="C5" s="49"/>
      <c r="D5" s="49"/>
      <c r="E5" s="49"/>
      <c r="F5" s="49"/>
      <c r="G5" s="49"/>
      <c r="H5" s="16"/>
      <c r="I5" s="16"/>
      <c r="J5" s="16"/>
      <c r="K5" s="16"/>
      <c r="L5" s="16"/>
      <c r="M5" s="16"/>
      <c r="N5" s="16"/>
      <c r="O5" s="16"/>
      <c r="P5" s="16"/>
      <c r="S5" s="2"/>
    </row>
    <row r="6" spans="1:25" s="6" customFormat="1" ht="33.75" customHeight="1">
      <c r="A6" s="14"/>
      <c r="B6" s="51" t="s">
        <v>79</v>
      </c>
      <c r="C6" s="51" t="s">
        <v>80</v>
      </c>
      <c r="D6" s="51" t="s">
        <v>80</v>
      </c>
      <c r="E6" s="51" t="s">
        <v>80</v>
      </c>
      <c r="F6" s="51" t="s">
        <v>80</v>
      </c>
      <c r="G6" s="51" t="s">
        <v>80</v>
      </c>
      <c r="H6" s="14"/>
      <c r="I6" s="14"/>
      <c r="J6" s="14"/>
      <c r="K6" s="14"/>
      <c r="L6" s="14"/>
      <c r="M6" s="14"/>
      <c r="N6" s="14"/>
      <c r="O6" s="14"/>
      <c r="P6" s="14"/>
      <c r="X6" s="45"/>
      <c r="Y6" s="45"/>
    </row>
    <row r="7" spans="1:25" ht="20.25">
      <c r="A7" s="17" t="s">
        <v>68</v>
      </c>
      <c r="B7" s="49"/>
      <c r="C7" s="49"/>
      <c r="D7" s="49"/>
      <c r="E7" s="49"/>
      <c r="F7" s="49"/>
      <c r="G7" s="49"/>
      <c r="H7" s="16"/>
      <c r="I7" s="16"/>
      <c r="J7" s="16"/>
      <c r="K7" s="16"/>
      <c r="L7" s="16"/>
      <c r="M7" s="16"/>
      <c r="N7" s="16"/>
      <c r="O7" s="16"/>
      <c r="P7" s="16"/>
      <c r="S7" s="2"/>
      <c r="X7" s="44"/>
      <c r="Y7" s="44"/>
    </row>
    <row r="8" spans="1:25" s="7" customFormat="1" ht="18">
      <c r="A8" s="14" t="s">
        <v>69</v>
      </c>
      <c r="B8" s="52"/>
      <c r="C8" s="52">
        <f>'Medical_Rx_Vision (RGA) ($150K)'!E8</f>
        <v>150000</v>
      </c>
      <c r="D8" s="52">
        <f>'Medical_Rx_Vision (RGA) ($125)'!E8</f>
        <v>125000</v>
      </c>
      <c r="E8" s="52">
        <f>'Medical_Rx_Vision (RGA) ($100K)'!E8</f>
        <v>100000</v>
      </c>
      <c r="F8" s="52">
        <f>'Medical_Rx_Vision (RGA) ($200K)'!E8</f>
        <v>200000</v>
      </c>
      <c r="G8" s="52">
        <f>'Medical_Rx_Vision (RGA) ($225K)'!E8</f>
        <v>225000</v>
      </c>
      <c r="H8" s="22"/>
      <c r="I8" s="43"/>
      <c r="J8" s="43"/>
      <c r="K8" s="43"/>
      <c r="L8" s="43"/>
      <c r="M8" s="43"/>
      <c r="N8" s="43"/>
      <c r="O8" s="43"/>
      <c r="P8" s="43"/>
      <c r="X8" s="8"/>
      <c r="Y8" s="8"/>
    </row>
    <row r="9" spans="1:25" ht="18">
      <c r="A9" s="14" t="s">
        <v>70</v>
      </c>
      <c r="B9" s="52"/>
      <c r="C9" s="52">
        <f>'Medical_Rx_Vision (RGA) ($150K)'!E9</f>
        <v>70000</v>
      </c>
      <c r="D9" s="52">
        <v>70000</v>
      </c>
      <c r="E9" s="52">
        <v>70000</v>
      </c>
      <c r="F9" s="52">
        <f>'Medical_Rx_Vision (RGA) ($200K)'!E9</f>
        <v>70000</v>
      </c>
      <c r="G9" s="52">
        <f>'Medical_Rx_Vision (RGA) ($225K)'!E9</f>
        <v>70000</v>
      </c>
      <c r="H9" s="22"/>
      <c r="I9" s="16"/>
      <c r="J9" s="16"/>
      <c r="K9" s="16"/>
      <c r="L9" s="16"/>
      <c r="M9" s="16"/>
      <c r="N9" s="16"/>
      <c r="O9" s="16"/>
      <c r="P9" s="16"/>
      <c r="S9" s="2"/>
      <c r="X9" s="35"/>
      <c r="Y9" s="35"/>
    </row>
    <row r="10" spans="1:25" ht="18">
      <c r="A10" s="14"/>
      <c r="B10" s="52"/>
      <c r="C10" s="52"/>
      <c r="D10" s="52"/>
      <c r="E10" s="52"/>
      <c r="F10" s="52"/>
      <c r="G10" s="52"/>
      <c r="H10" s="22"/>
      <c r="I10" s="16"/>
      <c r="J10" s="16"/>
      <c r="K10" s="16"/>
      <c r="L10" s="16"/>
      <c r="M10" s="16"/>
      <c r="N10" s="16"/>
      <c r="O10" s="16"/>
      <c r="P10" s="16"/>
      <c r="S10" s="2"/>
      <c r="X10" s="35"/>
      <c r="Y10" s="35"/>
    </row>
    <row r="11" spans="1:25" ht="9" customHeight="1">
      <c r="A11" s="16"/>
      <c r="B11" s="52"/>
      <c r="C11" s="52"/>
      <c r="D11" s="52"/>
      <c r="E11" s="52"/>
      <c r="F11" s="52"/>
      <c r="G11" s="52"/>
      <c r="H11" s="22"/>
      <c r="I11" s="16"/>
      <c r="J11" s="16"/>
      <c r="K11" s="16"/>
      <c r="L11" s="16"/>
      <c r="M11" s="16"/>
      <c r="N11" s="16"/>
      <c r="O11" s="16"/>
      <c r="P11" s="16"/>
      <c r="S11" s="2"/>
      <c r="X11" s="8"/>
      <c r="Y11" s="8"/>
    </row>
    <row r="12" spans="1:25" ht="20.25">
      <c r="A12" s="17" t="s">
        <v>53</v>
      </c>
      <c r="B12" s="52"/>
      <c r="C12" s="52"/>
      <c r="D12" s="52"/>
      <c r="E12" s="52"/>
      <c r="F12" s="52"/>
      <c r="G12" s="52"/>
      <c r="H12" s="22"/>
      <c r="I12" s="16"/>
      <c r="J12" s="16"/>
      <c r="K12" s="16"/>
      <c r="L12" s="16"/>
      <c r="M12" s="16"/>
      <c r="N12" s="16"/>
      <c r="O12" s="16"/>
      <c r="P12" s="16"/>
      <c r="S12" s="2"/>
      <c r="X12" s="42"/>
      <c r="Y12" s="41"/>
    </row>
    <row r="13" spans="1:25" ht="18">
      <c r="A13" s="403" t="s">
        <v>54</v>
      </c>
      <c r="B13" s="404" t="e">
        <f>#REF!</f>
        <v>#REF!</v>
      </c>
      <c r="C13" s="404" t="e">
        <f ca="1">'Medical_Rx_Vision (RGA) ($150K)'!K43</f>
        <v>#VALUE!</v>
      </c>
      <c r="D13" s="404" t="e">
        <f ca="1">'Medical_Rx_Vision (RGA) ($125)'!K43</f>
        <v>#VALUE!</v>
      </c>
      <c r="E13" s="404" t="e">
        <f ca="1">'Medical_Rx_Vision (RGA) ($100K)'!K43</f>
        <v>#VALUE!</v>
      </c>
      <c r="F13" s="404" t="e">
        <f ca="1">'Medical_Rx_Vision (RGA) ($200K)'!K43</f>
        <v>#VALUE!</v>
      </c>
      <c r="G13" s="404" t="e">
        <f ca="1">'Medical_Rx_Vision (RGA) ($225K)'!K43</f>
        <v>#VALUE!</v>
      </c>
      <c r="H13" s="22"/>
      <c r="I13" s="16"/>
      <c r="J13" s="16"/>
      <c r="K13" s="16"/>
      <c r="L13" s="16"/>
      <c r="M13" s="16"/>
      <c r="N13" s="16"/>
      <c r="O13" s="16"/>
      <c r="P13" s="16"/>
      <c r="S13" s="2"/>
      <c r="X13" s="10"/>
    </row>
    <row r="14" spans="1:25" s="8" customFormat="1" ht="18">
      <c r="A14" s="14" t="s">
        <v>55</v>
      </c>
      <c r="B14" s="53" t="e">
        <f>#REF!</f>
        <v>#REF!</v>
      </c>
      <c r="C14" s="53" t="e">
        <f ca="1">'Medical_Rx_Vision (RGA) ($150K)'!K44</f>
        <v>#VALUE!</v>
      </c>
      <c r="D14" s="53" t="e">
        <f ca="1">'Medical_Rx_Vision (RGA) ($125)'!K44</f>
        <v>#VALUE!</v>
      </c>
      <c r="E14" s="53" t="e">
        <f ca="1">'Medical_Rx_Vision (RGA) ($100K)'!K44</f>
        <v>#VALUE!</v>
      </c>
      <c r="F14" s="53" t="e">
        <f ca="1">'Medical_Rx_Vision (RGA) ($200K)'!K44</f>
        <v>#VALUE!</v>
      </c>
      <c r="G14" s="53" t="e">
        <f ca="1">'Medical_Rx_Vision (RGA) ($225K)'!K44</f>
        <v>#VALUE!</v>
      </c>
      <c r="H14" s="22"/>
      <c r="I14" s="40"/>
      <c r="J14" s="40"/>
      <c r="K14" s="40"/>
      <c r="L14" s="40"/>
      <c r="M14" s="40"/>
      <c r="N14" s="40"/>
      <c r="O14" s="40"/>
      <c r="P14" s="40"/>
      <c r="X14" s="38"/>
    </row>
    <row r="15" spans="1:25" s="8" customFormat="1" ht="18">
      <c r="A15" s="14" t="s">
        <v>56</v>
      </c>
      <c r="B15" s="53" t="e">
        <f>#REF!</f>
        <v>#REF!</v>
      </c>
      <c r="C15" s="53" t="e">
        <f ca="1">'Medical_Rx_Vision (RGA) ($150K)'!K45</f>
        <v>#VALUE!</v>
      </c>
      <c r="D15" s="53" t="e">
        <f ca="1">'Medical_Rx_Vision (RGA) ($125)'!K45</f>
        <v>#VALUE!</v>
      </c>
      <c r="E15" s="53" t="e">
        <f ca="1">'Medical_Rx_Vision (RGA) ($100K)'!K45</f>
        <v>#VALUE!</v>
      </c>
      <c r="F15" s="53" t="e">
        <f ca="1">'Medical_Rx_Vision (RGA) ($200K)'!K45</f>
        <v>#VALUE!</v>
      </c>
      <c r="G15" s="53" t="e">
        <f ca="1">'Medical_Rx_Vision (RGA) ($225K)'!K45</f>
        <v>#VALUE!</v>
      </c>
      <c r="H15" s="22"/>
      <c r="I15" s="40"/>
      <c r="J15" s="40"/>
      <c r="K15" s="40"/>
      <c r="L15" s="40"/>
      <c r="M15" s="40"/>
      <c r="N15" s="40"/>
      <c r="O15" s="40"/>
      <c r="P15" s="40"/>
    </row>
    <row r="16" spans="1:25" ht="18">
      <c r="A16" s="14" t="s">
        <v>57</v>
      </c>
      <c r="B16" s="53" t="e">
        <f>#REF!</f>
        <v>#REF!</v>
      </c>
      <c r="C16" s="53" t="e">
        <f ca="1">'Medical_Rx_Vision (RGA) ($150K)'!K46</f>
        <v>#VALUE!</v>
      </c>
      <c r="D16" s="53" t="e">
        <f ca="1">'Medical_Rx_Vision (RGA) ($125)'!K46</f>
        <v>#VALUE!</v>
      </c>
      <c r="E16" s="53" t="e">
        <f ca="1">'Medical_Rx_Vision (RGA) ($100K)'!K46</f>
        <v>#VALUE!</v>
      </c>
      <c r="F16" s="53" t="e">
        <f ca="1">'Medical_Rx_Vision (RGA) ($200K)'!K46</f>
        <v>#VALUE!</v>
      </c>
      <c r="G16" s="53" t="e">
        <f ca="1">'Medical_Rx_Vision (RGA) ($225K)'!K46</f>
        <v>#VALUE!</v>
      </c>
      <c r="H16" s="22"/>
      <c r="I16" s="16"/>
      <c r="J16" s="16"/>
      <c r="K16" s="16"/>
      <c r="L16" s="16"/>
      <c r="M16" s="16"/>
      <c r="N16" s="16"/>
      <c r="O16" s="16"/>
      <c r="P16" s="16"/>
      <c r="S16" s="2"/>
      <c r="X16" s="12"/>
    </row>
    <row r="17" spans="1:38" ht="15.75">
      <c r="A17" s="16"/>
      <c r="B17" s="49"/>
      <c r="C17" s="49"/>
      <c r="D17" s="49"/>
      <c r="E17" s="49"/>
      <c r="F17" s="49"/>
      <c r="G17" s="49"/>
      <c r="H17" s="16"/>
      <c r="I17" s="16"/>
      <c r="J17" s="16"/>
      <c r="K17" s="16"/>
      <c r="L17" s="16"/>
      <c r="M17" s="16"/>
      <c r="N17" s="16"/>
      <c r="O17" s="16"/>
      <c r="P17" s="16"/>
      <c r="S17" s="2"/>
      <c r="X17" s="34"/>
      <c r="Y17" s="34"/>
      <c r="Z17" s="12"/>
    </row>
    <row r="18" spans="1:38" ht="18">
      <c r="A18" s="14" t="s">
        <v>71</v>
      </c>
      <c r="B18" s="63" t="e">
        <f ca="1">((#REF!-#REF!))*((SUM(OFFSET('Medical &amp; Rx Total'!$B$7,COUNT('Medical &amp; Rx Total'!$B$8:$B$30),0,-1)))*12)</f>
        <v>#REF!</v>
      </c>
      <c r="C18" s="63" t="e">
        <f ca="1">(('Medical_Rx_Vision (RGA) ($150K)'!K38-'Medical_Rx_Vision (RGA) ($150K)'!K40))*((SUM(OFFSET('Medical &amp; Rx Total'!$B$7,COUNT('Medical &amp; Rx Total'!$B$8:$B$30),0,-1)))*12)</f>
        <v>#VALUE!</v>
      </c>
      <c r="D18" s="63" t="e">
        <f ca="1">(('Medical_Rx_Vision (RGA) ($125)'!K38-'Medical_Rx_Vision (RGA) ($125)'!K40))*((SUM(OFFSET('Medical &amp; Rx Total'!$B$7,COUNT('Medical &amp; Rx Total'!$B$8:$B$30),0,-1)))*12)</f>
        <v>#VALUE!</v>
      </c>
      <c r="E18" s="63" t="e">
        <f ca="1">(('Medical_Rx_Vision (RGA) ($100K)'!K38-'Medical_Rx_Vision (RGA) ($100K)'!K40))*((SUM(OFFSET('Medical &amp; Rx Total'!$B$7,COUNT('Medical &amp; Rx Total'!$B$8:$B$30),0,-1)))*12)</f>
        <v>#VALUE!</v>
      </c>
      <c r="F18" s="63" t="e">
        <f ca="1">(('Medical_Rx_Vision (RGA) ($200K)'!K38-'Medical_Rx_Vision (RGA) ($200K)'!K40))*((SUM(OFFSET('Medical &amp; Rx Total'!$B$7,COUNT('Medical &amp; Rx Total'!$B$8:$B$30),0,-1)))*12)</f>
        <v>#VALUE!</v>
      </c>
      <c r="G18" s="63" t="e">
        <f ca="1">(('Medical_Rx_Vision (RGA) ($225K)'!K38-'Medical_Rx_Vision (RGA) ($225K)'!K40))*((SUM(OFFSET('Medical &amp; Rx Total'!$B$7,COUNT('Medical &amp; Rx Total'!$B$8:$B$30),0,-1)))*12)</f>
        <v>#VALUE!</v>
      </c>
      <c r="H18" s="65"/>
      <c r="I18" s="16"/>
      <c r="J18" s="16"/>
      <c r="K18" s="16"/>
      <c r="L18" s="16"/>
      <c r="M18" s="16"/>
      <c r="N18" s="16"/>
      <c r="O18" s="16"/>
      <c r="P18" s="16"/>
      <c r="S18" s="2"/>
      <c r="X18" s="8"/>
      <c r="Y18" s="8"/>
      <c r="AL18" s="5"/>
    </row>
    <row r="19" spans="1:38" ht="18">
      <c r="A19" s="14"/>
      <c r="B19" s="63"/>
      <c r="C19" s="63"/>
      <c r="D19" s="63"/>
      <c r="E19" s="63"/>
      <c r="F19" s="63"/>
      <c r="G19" s="63"/>
      <c r="H19" s="65"/>
      <c r="I19" s="16"/>
      <c r="J19" s="16"/>
      <c r="K19" s="16"/>
      <c r="L19" s="16"/>
      <c r="M19" s="16"/>
      <c r="N19" s="16"/>
      <c r="O19" s="16"/>
      <c r="P19" s="16"/>
      <c r="S19" s="2"/>
      <c r="X19" s="8"/>
      <c r="Y19" s="8"/>
      <c r="AL19" s="5"/>
    </row>
    <row r="20" spans="1:38" ht="18">
      <c r="A20" s="14"/>
      <c r="B20" s="63"/>
      <c r="C20" s="63"/>
      <c r="D20" s="63"/>
      <c r="E20" s="63"/>
      <c r="F20" s="63"/>
      <c r="G20" s="63"/>
      <c r="H20" s="65"/>
      <c r="I20" s="16"/>
      <c r="J20" s="16"/>
      <c r="K20" s="16"/>
      <c r="L20" s="16"/>
      <c r="M20" s="16"/>
      <c r="N20" s="16"/>
      <c r="O20" s="16"/>
      <c r="P20" s="16"/>
      <c r="S20" s="2"/>
      <c r="X20" s="8"/>
      <c r="Y20" s="8"/>
      <c r="AL20" s="5"/>
    </row>
    <row r="21" spans="1:38" ht="19.7" customHeight="1">
      <c r="A21" s="17" t="s">
        <v>51</v>
      </c>
      <c r="B21" s="30"/>
      <c r="S21" s="2"/>
    </row>
    <row r="22" spans="1:38" ht="19.7" customHeight="1">
      <c r="A22" s="13" t="s">
        <v>72</v>
      </c>
      <c r="B22" s="117" t="e">
        <f>#REF!</f>
        <v>#REF!</v>
      </c>
      <c r="C22" s="117" t="e">
        <f ca="1">'Medical_Rx_Vision (RGA) ($150K)'!K27</f>
        <v>#VALUE!</v>
      </c>
      <c r="D22" s="117" t="e">
        <f ca="1">'Medical_Rx_Vision (RGA) ($125)'!K27</f>
        <v>#VALUE!</v>
      </c>
      <c r="E22" s="117" t="e">
        <f ca="1">'Medical_Rx_Vision (RGA) ($100K)'!K27</f>
        <v>#VALUE!</v>
      </c>
      <c r="F22" s="117" t="e">
        <f ca="1">'Medical_Rx_Vision (RGA) ($200K)'!K27</f>
        <v>#VALUE!</v>
      </c>
      <c r="G22" s="117" t="e">
        <f ca="1">'Medical_Rx_Vision (RGA) ($225K)'!K27</f>
        <v>#VALUE!</v>
      </c>
      <c r="S22" s="2"/>
    </row>
    <row r="23" spans="1:38" ht="18">
      <c r="A23" s="13" t="s">
        <v>73</v>
      </c>
      <c r="B23" s="66" t="e">
        <f>#REF!</f>
        <v>#REF!</v>
      </c>
      <c r="C23" s="66">
        <f>'Medical_Rx_Vision (RGA) ($150K)'!G30+'Medical_Rx_Vision (RGA) ($150K)'!G31+'Medical_Rx_Vision (RGA) ($150K)'!G32</f>
        <v>50.94</v>
      </c>
      <c r="D23" s="66">
        <f>'Medical_Rx_Vision (RGA) ($125)'!G30+'Medical_Rx_Vision (RGA) ($125)'!G31+'Medical_Rx_Vision (RGA) ($125)'!G32</f>
        <v>50.94</v>
      </c>
      <c r="E23" s="66">
        <f>'Medical_Rx_Vision (RGA) ($100K)'!G30+'Medical_Rx_Vision (RGA) ($100K)'!G31+'Medical_Rx_Vision (RGA) ($100K)'!G32</f>
        <v>50.94</v>
      </c>
      <c r="F23" s="66">
        <f>'Medical_Rx_Vision (RGA) ($200K)'!G30+'Medical_Rx_Vision (RGA) ($200K)'!G31+'Medical_Rx_Vision (RGA) ($200K)'!G32</f>
        <v>50.94</v>
      </c>
      <c r="G23" s="66">
        <f>'Medical_Rx_Vision (RGA) ($225K)'!G30+'Medical_Rx_Vision (RGA) ($225K)'!G31+'Medical_Rx_Vision (RGA) ($225K)'!G32</f>
        <v>50.94</v>
      </c>
      <c r="S23" s="2"/>
    </row>
    <row r="24" spans="1:38" ht="18">
      <c r="A24" s="13" t="s">
        <v>74</v>
      </c>
      <c r="B24" s="66" t="e">
        <f>#REF!</f>
        <v>#REF!</v>
      </c>
      <c r="C24" s="66">
        <f>'Medical_Rx_Vision (RGA) ($150K)'!I30</f>
        <v>5.4495000000000005</v>
      </c>
      <c r="D24" s="66">
        <f>'Medical_Rx_Vision (RGA) ($125)'!I30</f>
        <v>5.4495000000000005</v>
      </c>
      <c r="E24" s="66">
        <f>'Medical_Rx_Vision (RGA) ($100K)'!I30</f>
        <v>5.4495000000000005</v>
      </c>
      <c r="F24" s="66">
        <f>'Medical_Rx_Vision (RGA) ($200K)'!I30</f>
        <v>5.4495000000000005</v>
      </c>
      <c r="G24" s="66">
        <f>'Medical_Rx_Vision (RGA) ($225K)'!I30</f>
        <v>5.4495000000000005</v>
      </c>
      <c r="S24" s="2"/>
    </row>
    <row r="25" spans="1:38" ht="18">
      <c r="A25" s="15" t="s">
        <v>49</v>
      </c>
      <c r="B25" s="66" t="e">
        <f>#REF!</f>
        <v>#REF!</v>
      </c>
      <c r="C25" s="66">
        <f>'Medical_Rx_Vision (RGA) ($150K)'!I34</f>
        <v>-47.554500000000004</v>
      </c>
      <c r="D25" s="66">
        <f>'Medical_Rx_Vision (RGA) ($125)'!I34</f>
        <v>-47.554500000000004</v>
      </c>
      <c r="E25" s="66">
        <f>'Medical_Rx_Vision (RGA) ($100K)'!I34</f>
        <v>-47.554500000000004</v>
      </c>
      <c r="F25" s="66">
        <f>'Medical_Rx_Vision (RGA) ($200K)'!I34</f>
        <v>-47.554500000000004</v>
      </c>
      <c r="G25" s="66">
        <f>'Medical_Rx_Vision (RGA) ($225K)'!K34</f>
        <v>-47.554500000000004</v>
      </c>
      <c r="S25" s="2"/>
    </row>
    <row r="26" spans="1:38" ht="18">
      <c r="A26" s="15" t="s">
        <v>48</v>
      </c>
      <c r="B26" s="66" t="e">
        <f>#REF!</f>
        <v>#REF!</v>
      </c>
      <c r="C26" s="66">
        <f>'Medical_Rx_Vision (RGA) ($150K)'!G33</f>
        <v>15.17</v>
      </c>
      <c r="D26" s="66">
        <f>'Medical_Rx_Vision (RGA) ($125)'!G33</f>
        <v>15.17</v>
      </c>
      <c r="E26" s="66">
        <f>'Medical_Rx_Vision (RGA) ($100K)'!G33</f>
        <v>15.17</v>
      </c>
      <c r="F26" s="66">
        <f>'Medical_Rx_Vision (RGA) ($200K)'!G33</f>
        <v>15.17</v>
      </c>
      <c r="G26" s="66">
        <f>'Medical_Rx_Vision (RGA) ($225K)'!K33</f>
        <v>15.17</v>
      </c>
      <c r="S26" s="2"/>
    </row>
    <row r="27" spans="1:38" ht="18">
      <c r="A27" s="13" t="s">
        <v>75</v>
      </c>
      <c r="B27" s="66" t="e">
        <f>#REF!</f>
        <v>#REF!</v>
      </c>
      <c r="C27" s="66">
        <f>'Medical_Rx_Vision (RGA) ($150K)'!G35</f>
        <v>160.05530483814329</v>
      </c>
      <c r="D27" s="66">
        <f>'Medical_Rx_Vision (RGA) ($125)'!G35</f>
        <v>205.72470170635933</v>
      </c>
      <c r="E27" s="66">
        <f>'Medical_Rx_Vision (RGA) ($100K)'!G35</f>
        <v>249.56732269984667</v>
      </c>
      <c r="F27" s="66">
        <f>'Medical_Rx_Vision (RGA) ($200K)'!G35</f>
        <v>109.62779406365728</v>
      </c>
      <c r="G27" s="66">
        <f>'Medical_Rx_Vision (RGA) ($225K)'!G35</f>
        <v>92.48583905312222</v>
      </c>
      <c r="S27" s="2"/>
    </row>
    <row r="28" spans="1:38" ht="18">
      <c r="A28" s="403" t="s">
        <v>76</v>
      </c>
      <c r="B28" s="464" t="e">
        <f t="shared" ref="B28:G28" si="0">SUM(B22:B27)</f>
        <v>#REF!</v>
      </c>
      <c r="C28" s="464" t="e">
        <f t="shared" ca="1" si="0"/>
        <v>#VALUE!</v>
      </c>
      <c r="D28" s="464" t="e">
        <f t="shared" ca="1" si="0"/>
        <v>#VALUE!</v>
      </c>
      <c r="E28" s="464" t="e">
        <f t="shared" ca="1" si="0"/>
        <v>#VALUE!</v>
      </c>
      <c r="F28" s="464" t="e">
        <f t="shared" ca="1" si="0"/>
        <v>#VALUE!</v>
      </c>
      <c r="G28" s="464" t="e">
        <f t="shared" ca="1" si="0"/>
        <v>#VALUE!</v>
      </c>
      <c r="S28" s="2"/>
    </row>
    <row r="29" spans="1:38" ht="18">
      <c r="A29" s="13"/>
      <c r="B29" s="62"/>
      <c r="C29" s="62"/>
      <c r="D29" s="62"/>
      <c r="E29" s="62"/>
      <c r="F29" s="62"/>
      <c r="G29" s="62"/>
      <c r="S29" s="2"/>
    </row>
    <row r="30" spans="1:38" s="8" customFormat="1">
      <c r="A30" s="37"/>
      <c r="B30" s="37"/>
      <c r="C30" s="37"/>
      <c r="D30" s="37"/>
      <c r="E30" s="37"/>
      <c r="F30" s="37"/>
      <c r="G30" s="37"/>
      <c r="H30" s="37"/>
      <c r="I30" s="37"/>
      <c r="J30" s="11"/>
      <c r="K30" s="11"/>
      <c r="L30" s="11"/>
      <c r="M30" s="11"/>
      <c r="N30" s="11"/>
      <c r="X30" s="39"/>
      <c r="Y30" s="39"/>
      <c r="Z30" s="2"/>
    </row>
    <row r="31" spans="1:38" s="8" customFormat="1" ht="18">
      <c r="A31" s="23" t="s">
        <v>52</v>
      </c>
      <c r="B31" s="61" t="e">
        <f>#REF!</f>
        <v>#REF!</v>
      </c>
      <c r="C31" s="37"/>
      <c r="D31" s="37"/>
      <c r="E31" s="37"/>
      <c r="F31" s="37"/>
      <c r="G31" s="37"/>
      <c r="H31" s="37"/>
      <c r="I31" s="37"/>
      <c r="J31" s="11"/>
      <c r="K31" s="11"/>
      <c r="L31" s="11"/>
      <c r="M31" s="11"/>
      <c r="N31" s="11"/>
      <c r="Z31" s="38"/>
    </row>
    <row r="32" spans="1:38" s="8" customFormat="1">
      <c r="A32" s="37"/>
      <c r="B32" s="37"/>
      <c r="C32" s="37"/>
      <c r="D32" s="37"/>
      <c r="E32" s="37"/>
      <c r="F32" s="37"/>
      <c r="G32" s="37"/>
      <c r="H32" s="37"/>
      <c r="I32" s="37"/>
      <c r="J32" s="11"/>
      <c r="K32" s="11"/>
      <c r="L32" s="11"/>
      <c r="M32" s="11"/>
      <c r="N32" s="11"/>
      <c r="Z32" s="38"/>
    </row>
    <row r="33" spans="1:36" s="8" customFormat="1">
      <c r="A33" s="37"/>
      <c r="B33" s="37"/>
      <c r="C33" s="37"/>
      <c r="D33" s="37"/>
      <c r="E33" s="37"/>
      <c r="F33" s="37"/>
      <c r="G33" s="37"/>
      <c r="H33" s="37"/>
      <c r="I33" s="37"/>
      <c r="J33" s="11"/>
      <c r="K33" s="11"/>
      <c r="L33" s="11"/>
      <c r="M33" s="11"/>
      <c r="N33" s="11"/>
      <c r="X33" s="7"/>
      <c r="Y33" s="7"/>
      <c r="Z33" s="2"/>
    </row>
    <row r="34" spans="1:36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S34" s="2"/>
      <c r="X34" s="36"/>
      <c r="Y34" s="35"/>
      <c r="Z34" s="7"/>
      <c r="AJ34" s="2" t="s">
        <v>20</v>
      </c>
    </row>
    <row r="35" spans="1:36" s="5" customFormat="1" ht="17.45" customHeight="1">
      <c r="A35" s="9"/>
      <c r="B35" s="54"/>
      <c r="C35" s="54"/>
      <c r="D35" s="54"/>
      <c r="E35" s="54"/>
      <c r="F35" s="54"/>
      <c r="G35" s="54"/>
      <c r="H35" s="9"/>
      <c r="I35" s="9"/>
      <c r="J35" s="9"/>
      <c r="K35" s="9"/>
      <c r="L35" s="9"/>
      <c r="M35" s="9"/>
      <c r="N35" s="9"/>
      <c r="X35" s="34"/>
      <c r="Y35" s="34"/>
      <c r="Z35" s="33"/>
      <c r="AA35" s="27"/>
      <c r="AB35" s="27"/>
    </row>
    <row r="36" spans="1:36">
      <c r="S36" s="2"/>
    </row>
    <row r="37" spans="1:36">
      <c r="S37" s="2"/>
    </row>
    <row r="38" spans="1:36">
      <c r="A38" s="32"/>
      <c r="S38" s="2"/>
    </row>
    <row r="39" spans="1:36">
      <c r="A39" s="32"/>
      <c r="S39" s="2"/>
    </row>
    <row r="40" spans="1:36">
      <c r="A40" s="32"/>
      <c r="S40" s="2"/>
    </row>
    <row r="41" spans="1:36">
      <c r="A41" s="32"/>
      <c r="S41" s="2"/>
    </row>
    <row r="42" spans="1:36">
      <c r="S42" s="2"/>
    </row>
    <row r="43" spans="1:36">
      <c r="A43" s="299"/>
      <c r="H43" s="55"/>
      <c r="S43" s="2"/>
    </row>
    <row r="44" spans="1:36">
      <c r="A44" s="32"/>
      <c r="C44" s="56"/>
      <c r="D44" s="56"/>
      <c r="E44" s="56"/>
      <c r="F44" s="56"/>
      <c r="G44" s="56"/>
      <c r="H44" s="56"/>
      <c r="S44" s="2"/>
    </row>
    <row r="45" spans="1:36">
      <c r="A45" s="32"/>
      <c r="C45" s="56"/>
      <c r="D45" s="56"/>
      <c r="E45" s="56"/>
      <c r="F45" s="56"/>
      <c r="G45" s="56"/>
      <c r="H45" s="56"/>
      <c r="S45" s="2"/>
    </row>
    <row r="46" spans="1:36">
      <c r="A46" s="32"/>
      <c r="B46" s="300"/>
      <c r="C46" s="56"/>
      <c r="D46" s="56"/>
      <c r="E46" s="56"/>
      <c r="F46" s="56"/>
      <c r="G46" s="56"/>
      <c r="H46" s="56"/>
      <c r="S46" s="2"/>
    </row>
    <row r="47" spans="1:36">
      <c r="A47" s="32"/>
      <c r="B47" s="300"/>
      <c r="C47" s="64"/>
      <c r="D47" s="64"/>
      <c r="E47" s="64"/>
      <c r="F47" s="64"/>
      <c r="G47" s="64"/>
      <c r="H47" s="64"/>
      <c r="S47" s="2"/>
    </row>
    <row r="48" spans="1:36">
      <c r="S48" s="2"/>
    </row>
    <row r="49" spans="8:19">
      <c r="H49" s="56"/>
      <c r="S49" s="2"/>
    </row>
    <row r="50" spans="8:19">
      <c r="H50" s="56"/>
      <c r="S50" s="2"/>
    </row>
    <row r="51" spans="8:19">
      <c r="H51" s="56"/>
      <c r="S51" s="2"/>
    </row>
    <row r="52" spans="8:19">
      <c r="S52" s="2"/>
    </row>
    <row r="53" spans="8:19">
      <c r="S53" s="2"/>
    </row>
    <row r="54" spans="8:19">
      <c r="S54" s="2"/>
    </row>
    <row r="55" spans="8:19">
      <c r="S55" s="2"/>
    </row>
    <row r="56" spans="8:19">
      <c r="S56" s="2"/>
    </row>
    <row r="57" spans="8:19">
      <c r="S57" s="2"/>
    </row>
    <row r="58" spans="8:19">
      <c r="S58" s="2"/>
    </row>
    <row r="59" spans="8:19">
      <c r="S59" s="2"/>
    </row>
    <row r="60" spans="8:19">
      <c r="S60" s="2"/>
    </row>
    <row r="61" spans="8:19">
      <c r="S61" s="2"/>
    </row>
    <row r="62" spans="8:19">
      <c r="S62" s="2"/>
    </row>
    <row r="63" spans="8:19">
      <c r="S63" s="2"/>
    </row>
    <row r="64" spans="8:19">
      <c r="S64" s="2"/>
    </row>
    <row r="65" spans="19:19">
      <c r="S65" s="2"/>
    </row>
    <row r="66" spans="19:19">
      <c r="S66" s="2"/>
    </row>
    <row r="67" spans="19:19">
      <c r="S67" s="2"/>
    </row>
    <row r="68" spans="19:19">
      <c r="S68" s="2"/>
    </row>
    <row r="69" spans="19:19">
      <c r="S69" s="2"/>
    </row>
    <row r="70" spans="19:19">
      <c r="S70" s="2"/>
    </row>
    <row r="71" spans="19:19">
      <c r="S71" s="2"/>
    </row>
    <row r="72" spans="19:19">
      <c r="S72" s="2"/>
    </row>
    <row r="73" spans="19:19">
      <c r="S73" s="2"/>
    </row>
    <row r="74" spans="19:19">
      <c r="S74" s="2"/>
    </row>
    <row r="75" spans="19:19">
      <c r="S75" s="2"/>
    </row>
    <row r="76" spans="19:19">
      <c r="S76" s="2"/>
    </row>
    <row r="77" spans="19:19">
      <c r="S77" s="2"/>
    </row>
    <row r="78" spans="19:19">
      <c r="S78" s="2"/>
    </row>
    <row r="79" spans="19:19">
      <c r="S79" s="2"/>
    </row>
    <row r="80" spans="19:19">
      <c r="S80" s="2"/>
    </row>
    <row r="81" spans="19:19">
      <c r="S81" s="2"/>
    </row>
    <row r="82" spans="19:19">
      <c r="S82" s="2"/>
    </row>
    <row r="83" spans="19:19">
      <c r="S83" s="2"/>
    </row>
    <row r="84" spans="19:19">
      <c r="S84" s="2"/>
    </row>
    <row r="85" spans="19:19">
      <c r="S85" s="2"/>
    </row>
    <row r="86" spans="19:19">
      <c r="S86" s="2"/>
    </row>
    <row r="87" spans="19:19">
      <c r="S87" s="2"/>
    </row>
    <row r="88" spans="19:19">
      <c r="S88" s="2"/>
    </row>
    <row r="89" spans="19:19">
      <c r="S89" s="2"/>
    </row>
    <row r="90" spans="19:19">
      <c r="S90" s="2"/>
    </row>
    <row r="91" spans="19:19">
      <c r="S91" s="2"/>
    </row>
    <row r="92" spans="19:19">
      <c r="S92" s="2"/>
    </row>
    <row r="93" spans="19:19">
      <c r="S93" s="2"/>
    </row>
    <row r="94" spans="19:19">
      <c r="S94" s="2"/>
    </row>
    <row r="95" spans="19:19">
      <c r="S95" s="2"/>
    </row>
    <row r="96" spans="19:19">
      <c r="S96" s="2"/>
    </row>
    <row r="97" spans="19:19">
      <c r="S97" s="2"/>
    </row>
    <row r="98" spans="19:19">
      <c r="S98" s="2"/>
    </row>
    <row r="99" spans="19:19">
      <c r="S99" s="2"/>
    </row>
    <row r="100" spans="19:19">
      <c r="S100" s="2"/>
    </row>
    <row r="101" spans="19:19">
      <c r="S101" s="2"/>
    </row>
    <row r="102" spans="19:19">
      <c r="S102" s="2"/>
    </row>
    <row r="103" spans="19:19">
      <c r="S103" s="2"/>
    </row>
    <row r="104" spans="19:19">
      <c r="S104" s="2"/>
    </row>
    <row r="105" spans="19:19">
      <c r="S105" s="2"/>
    </row>
    <row r="106" spans="19:19">
      <c r="S106" s="2"/>
    </row>
    <row r="107" spans="19:19">
      <c r="S107" s="2"/>
    </row>
    <row r="108" spans="19:19">
      <c r="S108" s="2"/>
    </row>
    <row r="109" spans="19:19">
      <c r="S109" s="2"/>
    </row>
    <row r="110" spans="19:19">
      <c r="S110" s="2"/>
    </row>
    <row r="111" spans="19:19">
      <c r="S111" s="2"/>
    </row>
    <row r="112" spans="19:19">
      <c r="S112" s="2"/>
    </row>
    <row r="113" spans="19:19">
      <c r="S113" s="2"/>
    </row>
    <row r="114" spans="19:19">
      <c r="S114" s="2"/>
    </row>
    <row r="115" spans="19:19">
      <c r="S115" s="2"/>
    </row>
    <row r="116" spans="19:19">
      <c r="S116" s="2"/>
    </row>
    <row r="117" spans="19:19">
      <c r="S117" s="2"/>
    </row>
    <row r="118" spans="19:19">
      <c r="S118" s="2"/>
    </row>
    <row r="119" spans="19:19">
      <c r="S119" s="2"/>
    </row>
    <row r="120" spans="19:19">
      <c r="S120" s="2"/>
    </row>
    <row r="121" spans="19:19">
      <c r="S121" s="2"/>
    </row>
    <row r="122" spans="19:19">
      <c r="S122" s="2"/>
    </row>
    <row r="123" spans="19:19">
      <c r="S123" s="2"/>
    </row>
    <row r="124" spans="19:19">
      <c r="S124" s="2"/>
    </row>
    <row r="125" spans="19:19">
      <c r="S125" s="2"/>
    </row>
    <row r="126" spans="19:19">
      <c r="S126" s="2"/>
    </row>
    <row r="127" spans="19:19">
      <c r="S127" s="2"/>
    </row>
    <row r="128" spans="19:19">
      <c r="S128" s="2"/>
    </row>
    <row r="129" spans="19:19">
      <c r="S129" s="2"/>
    </row>
    <row r="130" spans="19:19">
      <c r="S130" s="2"/>
    </row>
    <row r="131" spans="19:19">
      <c r="S131" s="2"/>
    </row>
    <row r="132" spans="19:19">
      <c r="S132" s="2"/>
    </row>
    <row r="133" spans="19:19">
      <c r="S133" s="2"/>
    </row>
    <row r="134" spans="19:19">
      <c r="S134" s="2"/>
    </row>
    <row r="135" spans="19:19">
      <c r="S135" s="2"/>
    </row>
    <row r="136" spans="19:19">
      <c r="S136" s="2"/>
    </row>
    <row r="137" spans="19:19">
      <c r="S137" s="2"/>
    </row>
    <row r="138" spans="19:19">
      <c r="S138" s="2"/>
    </row>
    <row r="139" spans="19:19">
      <c r="S139" s="2"/>
    </row>
    <row r="140" spans="19:19">
      <c r="S140" s="2"/>
    </row>
    <row r="141" spans="19:19">
      <c r="S141" s="2"/>
    </row>
    <row r="142" spans="19:19">
      <c r="S142" s="2"/>
    </row>
    <row r="143" spans="19:19">
      <c r="S143" s="2"/>
    </row>
    <row r="144" spans="19:19">
      <c r="S144" s="2"/>
    </row>
    <row r="145" spans="19:19">
      <c r="S145" s="2"/>
    </row>
    <row r="146" spans="19:19">
      <c r="S146" s="2"/>
    </row>
    <row r="147" spans="19:19">
      <c r="S147" s="2"/>
    </row>
    <row r="148" spans="19:19">
      <c r="S148" s="2"/>
    </row>
    <row r="149" spans="19:19">
      <c r="S149" s="2"/>
    </row>
    <row r="150" spans="19:19">
      <c r="S150" s="2"/>
    </row>
    <row r="151" spans="19:19">
      <c r="S151" s="2"/>
    </row>
    <row r="152" spans="19:19">
      <c r="S152" s="2"/>
    </row>
    <row r="153" spans="19:19">
      <c r="S153" s="2"/>
    </row>
    <row r="154" spans="19:19">
      <c r="S154" s="2"/>
    </row>
    <row r="155" spans="19:19">
      <c r="S155" s="2"/>
    </row>
    <row r="156" spans="19:19">
      <c r="S156" s="2"/>
    </row>
    <row r="157" spans="19:19">
      <c r="S157" s="2"/>
    </row>
    <row r="158" spans="19:19">
      <c r="S158" s="2"/>
    </row>
    <row r="159" spans="19:19">
      <c r="S159" s="2"/>
    </row>
    <row r="160" spans="19:19">
      <c r="S160" s="2"/>
    </row>
    <row r="161" spans="19:19">
      <c r="S161" s="2"/>
    </row>
    <row r="162" spans="19:19">
      <c r="S162" s="2"/>
    </row>
    <row r="163" spans="19:19">
      <c r="S163" s="2"/>
    </row>
    <row r="164" spans="19:19">
      <c r="S164" s="2"/>
    </row>
    <row r="165" spans="19:19">
      <c r="S165" s="2"/>
    </row>
    <row r="166" spans="19:19">
      <c r="S166" s="2"/>
    </row>
    <row r="167" spans="19:19">
      <c r="S167" s="2"/>
    </row>
    <row r="168" spans="19:19">
      <c r="S168" s="2"/>
    </row>
    <row r="169" spans="19:19">
      <c r="S169" s="2"/>
    </row>
    <row r="170" spans="19:19">
      <c r="S170" s="2"/>
    </row>
    <row r="171" spans="19:19">
      <c r="S171" s="2"/>
    </row>
    <row r="172" spans="19:19">
      <c r="S172" s="2"/>
    </row>
    <row r="173" spans="19:19">
      <c r="S173" s="2"/>
    </row>
    <row r="174" spans="19:19">
      <c r="S174" s="2"/>
    </row>
    <row r="175" spans="19:19">
      <c r="S175" s="2"/>
    </row>
    <row r="176" spans="19:19">
      <c r="S176" s="2"/>
    </row>
    <row r="177" spans="19:19">
      <c r="S177" s="2"/>
    </row>
    <row r="178" spans="19:19">
      <c r="S178" s="2"/>
    </row>
    <row r="179" spans="19:19">
      <c r="S179" s="2"/>
    </row>
    <row r="180" spans="19:19">
      <c r="S180" s="2"/>
    </row>
    <row r="181" spans="19:19">
      <c r="S181" s="2"/>
    </row>
    <row r="182" spans="19:19">
      <c r="S182" s="2"/>
    </row>
    <row r="183" spans="19:19">
      <c r="S183" s="2"/>
    </row>
    <row r="184" spans="19:19">
      <c r="S184" s="2"/>
    </row>
    <row r="185" spans="19:19">
      <c r="S185" s="2"/>
    </row>
    <row r="186" spans="19:19">
      <c r="S186" s="2"/>
    </row>
    <row r="187" spans="19:19">
      <c r="S187" s="2"/>
    </row>
    <row r="188" spans="19:19">
      <c r="S188" s="2"/>
    </row>
    <row r="189" spans="19:19">
      <c r="S189" s="2"/>
    </row>
    <row r="190" spans="19:19">
      <c r="S190" s="2"/>
    </row>
    <row r="191" spans="19:19">
      <c r="S191" s="2"/>
    </row>
    <row r="192" spans="19:19">
      <c r="S192" s="2"/>
    </row>
    <row r="193" spans="19:19">
      <c r="S193" s="2"/>
    </row>
    <row r="194" spans="19:19">
      <c r="S194" s="2"/>
    </row>
    <row r="195" spans="19:19">
      <c r="S195" s="2"/>
    </row>
    <row r="196" spans="19:19">
      <c r="S196" s="2"/>
    </row>
    <row r="197" spans="19:19">
      <c r="S197" s="2"/>
    </row>
    <row r="198" spans="19:19">
      <c r="S198" s="2"/>
    </row>
    <row r="199" spans="19:19">
      <c r="S199" s="2"/>
    </row>
    <row r="200" spans="19:19">
      <c r="S200" s="2"/>
    </row>
    <row r="201" spans="19:19">
      <c r="S201" s="2"/>
    </row>
    <row r="202" spans="19:19">
      <c r="S202" s="2"/>
    </row>
    <row r="203" spans="19:19">
      <c r="S203" s="2"/>
    </row>
    <row r="204" spans="19:19">
      <c r="S204" s="2"/>
    </row>
    <row r="205" spans="19:19">
      <c r="S205" s="2"/>
    </row>
    <row r="206" spans="19:19">
      <c r="S206" s="2"/>
    </row>
    <row r="207" spans="19:19">
      <c r="S207" s="2"/>
    </row>
    <row r="208" spans="19:19">
      <c r="S208" s="2"/>
    </row>
    <row r="209" spans="19:19">
      <c r="S209" s="2"/>
    </row>
    <row r="210" spans="19:19">
      <c r="S210" s="2"/>
    </row>
    <row r="211" spans="19:19">
      <c r="S211" s="2"/>
    </row>
    <row r="212" spans="19:19">
      <c r="S212" s="2"/>
    </row>
    <row r="213" spans="19:19">
      <c r="S213" s="2"/>
    </row>
    <row r="214" spans="19:19">
      <c r="S214" s="2"/>
    </row>
    <row r="215" spans="19:19">
      <c r="S215" s="2"/>
    </row>
    <row r="216" spans="19:19">
      <c r="S216" s="2"/>
    </row>
    <row r="217" spans="19:19">
      <c r="S217" s="2"/>
    </row>
    <row r="218" spans="19:19">
      <c r="S218" s="2"/>
    </row>
    <row r="219" spans="19:19">
      <c r="S219" s="2"/>
    </row>
    <row r="220" spans="19:19">
      <c r="S220" s="2"/>
    </row>
    <row r="221" spans="19:19">
      <c r="S221" s="2"/>
    </row>
    <row r="222" spans="19:19">
      <c r="S222" s="2"/>
    </row>
    <row r="223" spans="19:19">
      <c r="S223" s="2"/>
    </row>
    <row r="224" spans="19:19">
      <c r="S224" s="2"/>
    </row>
    <row r="225" spans="19:19">
      <c r="S225" s="2"/>
    </row>
    <row r="226" spans="19:19">
      <c r="S226" s="2"/>
    </row>
    <row r="227" spans="19:19">
      <c r="S227" s="2"/>
    </row>
    <row r="228" spans="19:19">
      <c r="S228" s="2"/>
    </row>
    <row r="229" spans="19:19">
      <c r="S229" s="2"/>
    </row>
    <row r="230" spans="19:19">
      <c r="S230" s="2"/>
    </row>
    <row r="231" spans="19:19">
      <c r="S231" s="2"/>
    </row>
    <row r="232" spans="19:19">
      <c r="S232" s="2"/>
    </row>
    <row r="233" spans="19:19">
      <c r="S233" s="2"/>
    </row>
    <row r="234" spans="19:19">
      <c r="S234" s="2"/>
    </row>
    <row r="235" spans="19:19">
      <c r="S235" s="2"/>
    </row>
    <row r="236" spans="19:19">
      <c r="S236" s="2"/>
    </row>
    <row r="237" spans="19:19">
      <c r="S237" s="2"/>
    </row>
    <row r="238" spans="19:19">
      <c r="S238" s="2"/>
    </row>
    <row r="239" spans="19:19">
      <c r="S239" s="2"/>
    </row>
    <row r="240" spans="19:19">
      <c r="S240" s="2"/>
    </row>
    <row r="241" spans="19:19">
      <c r="S241" s="2"/>
    </row>
    <row r="242" spans="19:19">
      <c r="S242" s="2"/>
    </row>
    <row r="243" spans="19:19">
      <c r="S243" s="2"/>
    </row>
    <row r="244" spans="19:19">
      <c r="S244" s="2"/>
    </row>
    <row r="245" spans="19:19">
      <c r="S245" s="2"/>
    </row>
    <row r="246" spans="19:19">
      <c r="S246" s="2"/>
    </row>
    <row r="247" spans="19:19">
      <c r="S247" s="2"/>
    </row>
    <row r="248" spans="19:19">
      <c r="S248" s="2"/>
    </row>
    <row r="249" spans="19:19">
      <c r="S249" s="2"/>
    </row>
    <row r="250" spans="19:19">
      <c r="S250" s="2"/>
    </row>
    <row r="251" spans="19:19">
      <c r="S251" s="2"/>
    </row>
    <row r="252" spans="19:19">
      <c r="S252" s="2"/>
    </row>
    <row r="253" spans="19:19">
      <c r="S253" s="2"/>
    </row>
    <row r="254" spans="19:19">
      <c r="S254" s="2"/>
    </row>
    <row r="255" spans="19:19">
      <c r="S255" s="2"/>
    </row>
    <row r="256" spans="19:19">
      <c r="S256" s="2"/>
    </row>
    <row r="257" spans="19:19">
      <c r="S257" s="2"/>
    </row>
    <row r="258" spans="19:19">
      <c r="S258" s="2"/>
    </row>
    <row r="259" spans="19:19">
      <c r="S259" s="2"/>
    </row>
    <row r="260" spans="19:19">
      <c r="S260" s="2"/>
    </row>
    <row r="261" spans="19:19">
      <c r="S261" s="2"/>
    </row>
    <row r="262" spans="19:19">
      <c r="S262" s="2"/>
    </row>
    <row r="263" spans="19:19">
      <c r="S263" s="2"/>
    </row>
    <row r="264" spans="19:19">
      <c r="S264" s="2"/>
    </row>
    <row r="265" spans="19:19">
      <c r="S265" s="2"/>
    </row>
    <row r="266" spans="19:19">
      <c r="S266" s="2"/>
    </row>
    <row r="267" spans="19:19">
      <c r="S267" s="2"/>
    </row>
    <row r="268" spans="19:19">
      <c r="S268" s="2"/>
    </row>
    <row r="269" spans="19:19">
      <c r="S269" s="2"/>
    </row>
    <row r="270" spans="19:19">
      <c r="S270" s="2"/>
    </row>
    <row r="271" spans="19:19">
      <c r="S271" s="2"/>
    </row>
    <row r="272" spans="19:19">
      <c r="S272" s="2"/>
    </row>
    <row r="273" spans="19:19">
      <c r="S273" s="2"/>
    </row>
    <row r="274" spans="19:19">
      <c r="S274" s="2"/>
    </row>
    <row r="275" spans="19:19">
      <c r="S275" s="2"/>
    </row>
    <row r="276" spans="19:19">
      <c r="S276" s="2"/>
    </row>
    <row r="277" spans="19:19">
      <c r="S277" s="2"/>
    </row>
    <row r="278" spans="19:19">
      <c r="S278" s="2"/>
    </row>
    <row r="279" spans="19:19">
      <c r="S279" s="2"/>
    </row>
    <row r="280" spans="19:19">
      <c r="S280" s="2"/>
    </row>
    <row r="281" spans="19:19">
      <c r="S281" s="2"/>
    </row>
    <row r="282" spans="19:19">
      <c r="S282" s="2"/>
    </row>
    <row r="283" spans="19:19">
      <c r="S283" s="2"/>
    </row>
    <row r="284" spans="19:19">
      <c r="S284" s="2"/>
    </row>
    <row r="285" spans="19:19">
      <c r="S285" s="2"/>
    </row>
    <row r="286" spans="19:19">
      <c r="S286" s="2"/>
    </row>
    <row r="287" spans="19:19">
      <c r="S287" s="2"/>
    </row>
    <row r="288" spans="19:19">
      <c r="S288" s="2"/>
    </row>
    <row r="289" spans="19:19">
      <c r="S289" s="2"/>
    </row>
    <row r="290" spans="19:19">
      <c r="S290" s="2"/>
    </row>
    <row r="291" spans="19:19">
      <c r="S291" s="2"/>
    </row>
    <row r="292" spans="19:19">
      <c r="S292" s="2"/>
    </row>
    <row r="293" spans="19:19">
      <c r="S293" s="2"/>
    </row>
    <row r="294" spans="19:19">
      <c r="S294" s="2"/>
    </row>
    <row r="295" spans="19:19">
      <c r="S295" s="2"/>
    </row>
    <row r="296" spans="19:19">
      <c r="S296" s="2"/>
    </row>
    <row r="297" spans="19:19">
      <c r="S297" s="2"/>
    </row>
    <row r="298" spans="19:19">
      <c r="S298" s="2"/>
    </row>
    <row r="299" spans="19:19">
      <c r="S299" s="2"/>
    </row>
    <row r="300" spans="19:19">
      <c r="S300" s="2"/>
    </row>
    <row r="301" spans="19:19">
      <c r="S301" s="2"/>
    </row>
    <row r="302" spans="19:19">
      <c r="S302" s="2"/>
    </row>
    <row r="303" spans="19:19">
      <c r="S303" s="2"/>
    </row>
    <row r="304" spans="19:19">
      <c r="S304" s="2"/>
    </row>
    <row r="305" spans="19:19">
      <c r="S305" s="2"/>
    </row>
    <row r="306" spans="19:19">
      <c r="S306" s="2"/>
    </row>
    <row r="307" spans="19:19">
      <c r="S307" s="2"/>
    </row>
    <row r="308" spans="19:19">
      <c r="S308" s="2"/>
    </row>
    <row r="309" spans="19:19">
      <c r="S309" s="2"/>
    </row>
    <row r="310" spans="19:19">
      <c r="S310" s="2"/>
    </row>
    <row r="311" spans="19:19">
      <c r="S311" s="2"/>
    </row>
    <row r="312" spans="19:19">
      <c r="S312" s="2"/>
    </row>
    <row r="313" spans="19:19">
      <c r="S313" s="2"/>
    </row>
    <row r="314" spans="19:19">
      <c r="S314" s="2"/>
    </row>
    <row r="315" spans="19:19">
      <c r="S315" s="2"/>
    </row>
    <row r="316" spans="19:19">
      <c r="S316" s="2"/>
    </row>
    <row r="317" spans="19:19">
      <c r="S317" s="2"/>
    </row>
    <row r="318" spans="19:19">
      <c r="S318" s="2"/>
    </row>
    <row r="319" spans="19:19">
      <c r="S319" s="2"/>
    </row>
    <row r="320" spans="19:19">
      <c r="S320" s="2"/>
    </row>
    <row r="321" spans="19:19">
      <c r="S321" s="2"/>
    </row>
    <row r="322" spans="19:19">
      <c r="S322" s="2"/>
    </row>
    <row r="323" spans="19:19">
      <c r="S323" s="2"/>
    </row>
    <row r="324" spans="19:19">
      <c r="S324" s="2"/>
    </row>
    <row r="325" spans="19:19">
      <c r="S325" s="2"/>
    </row>
    <row r="326" spans="19:19">
      <c r="S326" s="2"/>
    </row>
    <row r="327" spans="19:19">
      <c r="S327" s="2"/>
    </row>
    <row r="328" spans="19:19">
      <c r="S328" s="2"/>
    </row>
    <row r="329" spans="19:19">
      <c r="S329" s="2"/>
    </row>
    <row r="330" spans="19:19">
      <c r="S330" s="2"/>
    </row>
    <row r="331" spans="19:19">
      <c r="S331" s="2"/>
    </row>
    <row r="332" spans="19:19">
      <c r="S332" s="2"/>
    </row>
    <row r="333" spans="19:19">
      <c r="S333" s="2"/>
    </row>
    <row r="334" spans="19:19">
      <c r="S334" s="2"/>
    </row>
    <row r="335" spans="19:19">
      <c r="S335" s="2"/>
    </row>
    <row r="336" spans="19:19">
      <c r="S336" s="2"/>
    </row>
    <row r="337" spans="19:19">
      <c r="S337" s="2"/>
    </row>
    <row r="338" spans="19:19">
      <c r="S338" s="2"/>
    </row>
    <row r="339" spans="19:19">
      <c r="S339" s="2"/>
    </row>
    <row r="340" spans="19:19">
      <c r="S340" s="2"/>
    </row>
    <row r="341" spans="19:19">
      <c r="S341" s="2"/>
    </row>
    <row r="342" spans="19:19">
      <c r="S342" s="2"/>
    </row>
    <row r="343" spans="19:19">
      <c r="S343" s="2"/>
    </row>
    <row r="344" spans="19:19">
      <c r="S344" s="2"/>
    </row>
    <row r="345" spans="19:19">
      <c r="S345" s="2"/>
    </row>
    <row r="346" spans="19:19">
      <c r="S346" s="2"/>
    </row>
    <row r="347" spans="19:19">
      <c r="S347" s="2"/>
    </row>
    <row r="348" spans="19:19">
      <c r="S348" s="2"/>
    </row>
    <row r="349" spans="19:19">
      <c r="S349" s="2"/>
    </row>
  </sheetData>
  <pageMargins left="1" right="0.28999999999999998" top="0.75" bottom="0.43" header="0.25" footer="0"/>
  <pageSetup scale="35" orientation="landscape" r:id="rId1"/>
  <headerFooter alignWithMargins="0">
    <oddFooter xml:space="preserve">&amp;L&amp;"Arial,Regular"           Davidson Benefits Planning - An Alera Group Company 
&amp;C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B0569-035A-4F3A-9C9B-A378D2506BBC}">
  <sheetPr>
    <pageSetUpPr fitToPage="1"/>
  </sheetPr>
  <dimension ref="A1:R42"/>
  <sheetViews>
    <sheetView showGridLines="0" view="pageBreakPreview" topLeftCell="A12" zoomScaleNormal="115" zoomScaleSheetLayoutView="100" workbookViewId="0">
      <selection activeCell="G21" sqref="G21:G32"/>
    </sheetView>
  </sheetViews>
  <sheetFormatPr defaultRowHeight="15"/>
  <cols>
    <col min="1" max="1" width="12.77734375" customWidth="1"/>
    <col min="2" max="2" width="12.88671875" customWidth="1"/>
    <col min="3" max="3" width="16.21875" customWidth="1"/>
    <col min="4" max="7" width="12.77734375" customWidth="1"/>
    <col min="8" max="8" width="10.109375" customWidth="1"/>
    <col min="9" max="10" width="9.33203125" customWidth="1"/>
    <col min="11" max="11" width="23.88671875" style="414" customWidth="1"/>
    <col min="12" max="12" width="23.88671875" style="401" customWidth="1"/>
    <col min="13" max="14" width="23.88671875" style="414" customWidth="1"/>
    <col min="16" max="16" width="11.33203125" customWidth="1"/>
  </cols>
  <sheetData>
    <row r="1" spans="1:15" s="1" customFormat="1" ht="20.25">
      <c r="A1" s="1" t="e">
        <f>#REF!</f>
        <v>#REF!</v>
      </c>
      <c r="K1" s="413"/>
      <c r="L1" s="412"/>
      <c r="M1" s="413"/>
      <c r="N1" s="413"/>
    </row>
    <row r="2" spans="1:15" s="1" customFormat="1" ht="20.25">
      <c r="A2" s="1" t="s">
        <v>81</v>
      </c>
      <c r="K2" s="413"/>
      <c r="L2" s="412"/>
      <c r="M2" s="413"/>
      <c r="N2" s="413"/>
    </row>
    <row r="3" spans="1:15" s="1" customFormat="1" ht="6.95" customHeight="1">
      <c r="K3" s="413"/>
      <c r="L3" s="412"/>
      <c r="M3" s="413"/>
      <c r="N3" s="413"/>
    </row>
    <row r="4" spans="1:15" s="1" customFormat="1" ht="23.25" customHeight="1">
      <c r="K4" s="413"/>
      <c r="L4" s="412"/>
      <c r="M4" s="413"/>
      <c r="N4" s="413"/>
    </row>
    <row r="5" spans="1:15" s="1" customFormat="1" ht="20.25">
      <c r="K5" s="413"/>
      <c r="L5" s="412"/>
      <c r="M5" s="413"/>
      <c r="N5" s="413"/>
    </row>
    <row r="6" spans="1:15" s="1" customFormat="1" ht="20.25">
      <c r="K6" s="413"/>
      <c r="L6" s="412"/>
      <c r="M6" s="413"/>
      <c r="N6" s="413"/>
    </row>
    <row r="7" spans="1:15" s="1" customFormat="1" ht="20.25">
      <c r="K7" s="413"/>
      <c r="L7" s="412"/>
      <c r="M7" s="413"/>
      <c r="N7" s="413"/>
    </row>
    <row r="8" spans="1:15" s="1" customFormat="1" ht="20.25">
      <c r="K8" s="413"/>
      <c r="L8" s="412"/>
      <c r="M8" s="413"/>
      <c r="N8" s="413"/>
    </row>
    <row r="9" spans="1:15" s="1" customFormat="1" ht="20.25">
      <c r="K9" s="413"/>
      <c r="L9" s="412"/>
      <c r="M9" s="413"/>
      <c r="N9" s="413"/>
    </row>
    <row r="10" spans="1:15" s="1" customFormat="1" ht="20.25">
      <c r="K10" s="413"/>
      <c r="L10" s="412"/>
      <c r="M10" s="413"/>
      <c r="N10" s="413"/>
    </row>
    <row r="11" spans="1:15" s="1" customFormat="1" ht="20.25">
      <c r="K11" s="413"/>
      <c r="L11" s="412"/>
      <c r="M11" s="413"/>
      <c r="N11" s="413"/>
    </row>
    <row r="12" spans="1:15" s="1" customFormat="1" ht="20.25">
      <c r="K12" s="413"/>
      <c r="L12" s="412"/>
      <c r="M12" s="413"/>
      <c r="N12" s="413"/>
      <c r="O12" s="1" t="s">
        <v>20</v>
      </c>
    </row>
    <row r="13" spans="1:15" ht="51.75" customHeight="1"/>
    <row r="14" spans="1:15" ht="18.75" customHeight="1"/>
    <row r="15" spans="1:15" ht="18.75" customHeight="1"/>
    <row r="16" spans="1:15" ht="18.75" customHeight="1"/>
    <row r="17" spans="1:18" ht="18.75" customHeight="1" thickBot="1">
      <c r="A17" s="419" t="s">
        <v>82</v>
      </c>
      <c r="B17" s="421"/>
      <c r="C17" s="421"/>
      <c r="D17" s="421"/>
      <c r="E17" s="420"/>
      <c r="F17" s="1145">
        <f>L33</f>
        <v>0</v>
      </c>
      <c r="G17" s="1145"/>
      <c r="H17" s="420"/>
      <c r="I17" s="420"/>
      <c r="J17" s="407"/>
    </row>
    <row r="18" spans="1:18" s="391" customFormat="1" ht="12">
      <c r="A18" s="422"/>
      <c r="B18" s="423" t="s">
        <v>83</v>
      </c>
      <c r="C18" s="423" t="s">
        <v>84</v>
      </c>
      <c r="D18" s="423" t="s">
        <v>85</v>
      </c>
      <c r="E18" s="423" t="s">
        <v>86</v>
      </c>
      <c r="F18" s="423" t="s">
        <v>87</v>
      </c>
      <c r="G18" s="423" t="s">
        <v>88</v>
      </c>
      <c r="H18" s="423" t="s">
        <v>89</v>
      </c>
      <c r="I18" s="424" t="s">
        <v>90</v>
      </c>
      <c r="J18" s="411"/>
      <c r="K18" s="444" t="s">
        <v>91</v>
      </c>
      <c r="L18" s="445" t="s">
        <v>92</v>
      </c>
      <c r="M18" s="444" t="s">
        <v>93</v>
      </c>
      <c r="N18" s="444" t="s">
        <v>93</v>
      </c>
    </row>
    <row r="19" spans="1:18" s="391" customFormat="1" ht="12.75" thickBot="1">
      <c r="A19" s="425" t="s">
        <v>94</v>
      </c>
      <c r="B19" s="426" t="s">
        <v>95</v>
      </c>
      <c r="C19" s="427" t="s">
        <v>96</v>
      </c>
      <c r="D19" s="427" t="s">
        <v>97</v>
      </c>
      <c r="E19" s="426" t="s">
        <v>98</v>
      </c>
      <c r="F19" s="426" t="s">
        <v>99</v>
      </c>
      <c r="G19" s="426" t="s">
        <v>15</v>
      </c>
      <c r="H19" s="426" t="s">
        <v>100</v>
      </c>
      <c r="I19" s="428" t="s">
        <v>101</v>
      </c>
      <c r="J19" s="411"/>
      <c r="K19" s="446" t="s">
        <v>102</v>
      </c>
      <c r="L19" s="448" t="s">
        <v>103</v>
      </c>
      <c r="M19" s="447" t="s">
        <v>104</v>
      </c>
      <c r="N19" s="447" t="s">
        <v>104</v>
      </c>
    </row>
    <row r="20" spans="1:18" s="391" customFormat="1" ht="5.25" customHeight="1">
      <c r="A20" s="429"/>
      <c r="B20" s="430"/>
      <c r="C20" s="430"/>
      <c r="D20" s="430"/>
      <c r="E20" s="430"/>
      <c r="F20" s="430"/>
      <c r="G20" s="430"/>
      <c r="H20" s="517"/>
      <c r="I20" s="518"/>
      <c r="K20" s="449"/>
      <c r="L20" s="445"/>
      <c r="M20" s="449"/>
      <c r="N20" s="449"/>
    </row>
    <row r="21" spans="1:18" s="393" customFormat="1" ht="12">
      <c r="A21" s="431" t="s">
        <v>105</v>
      </c>
      <c r="B21" s="513"/>
      <c r="C21" s="515"/>
      <c r="D21" s="515"/>
      <c r="E21" s="515"/>
      <c r="F21" s="516"/>
      <c r="G21" s="522"/>
      <c r="H21" s="519"/>
      <c r="I21" s="520" t="s">
        <v>46</v>
      </c>
      <c r="J21" s="408"/>
      <c r="K21" s="450">
        <f>+G21</f>
        <v>0</v>
      </c>
      <c r="L21" s="524">
        <v>0</v>
      </c>
      <c r="M21" s="451">
        <v>12</v>
      </c>
      <c r="N21" s="451" t="s">
        <v>46</v>
      </c>
    </row>
    <row r="22" spans="1:18" s="394" customFormat="1" ht="12">
      <c r="A22" s="432" t="s">
        <v>106</v>
      </c>
      <c r="B22" s="514"/>
      <c r="C22" s="515"/>
      <c r="D22" s="515"/>
      <c r="E22" s="515"/>
      <c r="F22" s="516"/>
      <c r="G22" s="522"/>
      <c r="H22" s="523" t="e">
        <f>+(G22-G21)/(G21)</f>
        <v>#DIV/0!</v>
      </c>
      <c r="I22" s="521" t="s">
        <v>46</v>
      </c>
      <c r="J22" s="406"/>
      <c r="K22" s="453">
        <f>+G22</f>
        <v>0</v>
      </c>
      <c r="L22" s="525">
        <v>0</v>
      </c>
      <c r="M22" s="454">
        <v>12</v>
      </c>
      <c r="N22" s="528" t="e">
        <f>H22*M22</f>
        <v>#DIV/0!</v>
      </c>
      <c r="O22" s="392"/>
    </row>
    <row r="23" spans="1:18" s="405" customFormat="1" ht="12">
      <c r="A23" s="433" t="s">
        <v>107</v>
      </c>
      <c r="B23" s="513"/>
      <c r="C23" s="516"/>
      <c r="D23" s="516"/>
      <c r="E23" s="516"/>
      <c r="F23" s="516"/>
      <c r="G23" s="522"/>
      <c r="H23" s="523" t="e">
        <f t="shared" ref="H23:H31" si="0">+(G23-G22)/(G22)</f>
        <v>#DIV/0!</v>
      </c>
      <c r="I23" s="521" t="s">
        <v>46</v>
      </c>
      <c r="J23" s="406"/>
      <c r="K23" s="455">
        <f>+G23</f>
        <v>0</v>
      </c>
      <c r="L23" s="526">
        <v>0</v>
      </c>
      <c r="M23" s="456">
        <v>12</v>
      </c>
      <c r="N23" s="529" t="e">
        <f t="shared" ref="N23:N31" si="1">H23*M23</f>
        <v>#DIV/0!</v>
      </c>
      <c r="O23" s="392"/>
    </row>
    <row r="24" spans="1:18" s="405" customFormat="1" ht="12">
      <c r="A24" s="433" t="s">
        <v>108</v>
      </c>
      <c r="B24" s="513"/>
      <c r="C24" s="516"/>
      <c r="D24" s="516"/>
      <c r="E24" s="516"/>
      <c r="F24" s="516"/>
      <c r="G24" s="522"/>
      <c r="H24" s="523" t="e">
        <f t="shared" si="0"/>
        <v>#DIV/0!</v>
      </c>
      <c r="I24" s="521" t="s">
        <v>46</v>
      </c>
      <c r="J24" s="406"/>
      <c r="K24" s="455">
        <f>+G24</f>
        <v>0</v>
      </c>
      <c r="L24" s="526">
        <v>0</v>
      </c>
      <c r="M24" s="456">
        <v>12</v>
      </c>
      <c r="N24" s="529" t="e">
        <f t="shared" si="1"/>
        <v>#DIV/0!</v>
      </c>
      <c r="O24" s="392"/>
    </row>
    <row r="25" spans="1:18" s="393" customFormat="1" ht="12">
      <c r="A25" s="432" t="s">
        <v>109</v>
      </c>
      <c r="B25" s="514"/>
      <c r="C25" s="515"/>
      <c r="D25" s="515"/>
      <c r="E25" s="515"/>
      <c r="F25" s="516"/>
      <c r="G25" s="522"/>
      <c r="H25" s="523" t="e">
        <f t="shared" si="0"/>
        <v>#DIV/0!</v>
      </c>
      <c r="I25" s="527" t="e">
        <f>F25/C25</f>
        <v>#DIV/0!</v>
      </c>
      <c r="J25" s="406"/>
      <c r="K25" s="457">
        <v>102.06</v>
      </c>
      <c r="L25" s="524">
        <f>+($K25-$G25)*($B25*M25)</f>
        <v>0</v>
      </c>
      <c r="M25" s="451">
        <v>12</v>
      </c>
      <c r="N25" s="530" t="e">
        <f t="shared" si="1"/>
        <v>#DIV/0!</v>
      </c>
      <c r="O25" s="392"/>
      <c r="P25" s="395"/>
      <c r="Q25" s="396"/>
      <c r="R25" s="397"/>
    </row>
    <row r="26" spans="1:18" s="393" customFormat="1" ht="12">
      <c r="A26" s="432" t="s">
        <v>110</v>
      </c>
      <c r="B26" s="514"/>
      <c r="C26" s="515"/>
      <c r="D26" s="515"/>
      <c r="E26" s="515"/>
      <c r="F26" s="516"/>
      <c r="G26" s="522"/>
      <c r="H26" s="523" t="e">
        <f t="shared" si="0"/>
        <v>#DIV/0!</v>
      </c>
      <c r="I26" s="527" t="e">
        <f t="shared" ref="I26:I31" si="2">F26/C26</f>
        <v>#DIV/0!</v>
      </c>
      <c r="J26" s="406"/>
      <c r="K26" s="457">
        <f>K25*1.013</f>
        <v>103.38677999999999</v>
      </c>
      <c r="L26" s="524">
        <f t="shared" ref="L26:L31" si="3">+($K26-$G26)*($B26*M26)</f>
        <v>0</v>
      </c>
      <c r="M26" s="451">
        <v>4</v>
      </c>
      <c r="N26" s="530" t="e">
        <f t="shared" si="1"/>
        <v>#DIV/0!</v>
      </c>
      <c r="O26" s="392"/>
      <c r="P26" s="395"/>
      <c r="Q26" s="396"/>
      <c r="R26" s="397"/>
    </row>
    <row r="27" spans="1:18" s="393" customFormat="1" ht="12">
      <c r="A27" s="432" t="s">
        <v>111</v>
      </c>
      <c r="B27" s="514"/>
      <c r="C27" s="515"/>
      <c r="D27" s="515"/>
      <c r="E27" s="515"/>
      <c r="F27" s="516"/>
      <c r="G27" s="522"/>
      <c r="H27" s="523" t="e">
        <f t="shared" si="0"/>
        <v>#DIV/0!</v>
      </c>
      <c r="I27" s="527" t="e">
        <f t="shared" si="2"/>
        <v>#DIV/0!</v>
      </c>
      <c r="J27" s="406"/>
      <c r="K27" s="457">
        <f>K26*1.04</f>
        <v>107.52225119999999</v>
      </c>
      <c r="L27" s="524">
        <f t="shared" si="3"/>
        <v>0</v>
      </c>
      <c r="M27" s="451">
        <v>12</v>
      </c>
      <c r="N27" s="530" t="e">
        <f t="shared" si="1"/>
        <v>#DIV/0!</v>
      </c>
      <c r="O27" s="392"/>
      <c r="P27" s="395"/>
      <c r="Q27" s="396"/>
      <c r="R27" s="397"/>
    </row>
    <row r="28" spans="1:18" s="393" customFormat="1" ht="12">
      <c r="A28" s="432" t="s">
        <v>112</v>
      </c>
      <c r="B28" s="514"/>
      <c r="C28" s="515"/>
      <c r="D28" s="515"/>
      <c r="E28" s="515"/>
      <c r="F28" s="516"/>
      <c r="G28" s="522"/>
      <c r="H28" s="523" t="e">
        <f t="shared" si="0"/>
        <v>#DIV/0!</v>
      </c>
      <c r="I28" s="527" t="e">
        <f t="shared" si="2"/>
        <v>#DIV/0!</v>
      </c>
      <c r="J28" s="406"/>
      <c r="K28" s="457">
        <f>K27*1.04</f>
        <v>111.82314124799998</v>
      </c>
      <c r="L28" s="524">
        <f t="shared" si="3"/>
        <v>0</v>
      </c>
      <c r="M28" s="451">
        <v>12</v>
      </c>
      <c r="N28" s="530" t="e">
        <f t="shared" si="1"/>
        <v>#DIV/0!</v>
      </c>
      <c r="O28" s="392"/>
      <c r="P28" s="395"/>
      <c r="Q28" s="396"/>
      <c r="R28" s="397"/>
    </row>
    <row r="29" spans="1:18" s="393" customFormat="1" ht="12">
      <c r="A29" s="432" t="s">
        <v>113</v>
      </c>
      <c r="B29" s="514"/>
      <c r="C29" s="515"/>
      <c r="D29" s="515"/>
      <c r="E29" s="515"/>
      <c r="F29" s="516"/>
      <c r="G29" s="522"/>
      <c r="H29" s="523" t="e">
        <f t="shared" si="0"/>
        <v>#DIV/0!</v>
      </c>
      <c r="I29" s="527" t="e">
        <f t="shared" si="2"/>
        <v>#DIV/0!</v>
      </c>
      <c r="J29" s="406"/>
      <c r="K29" s="457">
        <f>+K28*1.045</f>
        <v>116.85518260415998</v>
      </c>
      <c r="L29" s="524">
        <f t="shared" si="3"/>
        <v>0</v>
      </c>
      <c r="M29" s="451">
        <v>12</v>
      </c>
      <c r="N29" s="530" t="e">
        <f t="shared" si="1"/>
        <v>#DIV/0!</v>
      </c>
      <c r="O29" s="392"/>
      <c r="P29" s="395"/>
      <c r="Q29" s="396"/>
      <c r="R29" s="397"/>
    </row>
    <row r="30" spans="1:18" s="393" customFormat="1" ht="12">
      <c r="A30" s="432" t="s">
        <v>114</v>
      </c>
      <c r="B30" s="514"/>
      <c r="C30" s="515"/>
      <c r="D30" s="515"/>
      <c r="E30" s="515"/>
      <c r="F30" s="516"/>
      <c r="G30" s="522"/>
      <c r="H30" s="523" t="e">
        <f t="shared" si="0"/>
        <v>#DIV/0!</v>
      </c>
      <c r="I30" s="527" t="e">
        <f t="shared" si="2"/>
        <v>#DIV/0!</v>
      </c>
      <c r="J30" s="406"/>
      <c r="K30" s="457">
        <f>+K29*1.045</f>
        <v>122.11366582134717</v>
      </c>
      <c r="L30" s="524">
        <f t="shared" si="3"/>
        <v>0</v>
      </c>
      <c r="M30" s="451">
        <v>12</v>
      </c>
      <c r="N30" s="530" t="e">
        <f t="shared" si="1"/>
        <v>#DIV/0!</v>
      </c>
      <c r="O30" s="392"/>
      <c r="P30" s="395"/>
      <c r="Q30" s="396"/>
      <c r="R30" s="397"/>
    </row>
    <row r="31" spans="1:18" s="393" customFormat="1" ht="12">
      <c r="A31" s="432" t="s">
        <v>115</v>
      </c>
      <c r="B31" s="514"/>
      <c r="C31" s="515"/>
      <c r="D31" s="515"/>
      <c r="E31" s="515"/>
      <c r="F31" s="516"/>
      <c r="G31" s="522"/>
      <c r="H31" s="523" t="e">
        <f t="shared" si="0"/>
        <v>#DIV/0!</v>
      </c>
      <c r="I31" s="527" t="e">
        <f t="shared" si="2"/>
        <v>#DIV/0!</v>
      </c>
      <c r="J31" s="406"/>
      <c r="K31" s="457">
        <f>+K30*1.045</f>
        <v>127.60878078330778</v>
      </c>
      <c r="L31" s="524">
        <f t="shared" si="3"/>
        <v>0</v>
      </c>
      <c r="M31" s="451">
        <v>5</v>
      </c>
      <c r="N31" s="530" t="e">
        <f t="shared" si="1"/>
        <v>#DIV/0!</v>
      </c>
      <c r="O31" s="392"/>
      <c r="P31" s="395"/>
      <c r="Q31" s="396"/>
      <c r="R31" s="397"/>
    </row>
    <row r="32" spans="1:18" s="393" customFormat="1" ht="6.75" customHeight="1">
      <c r="A32" s="434" t="s">
        <v>20</v>
      </c>
      <c r="B32" s="435" t="s">
        <v>20</v>
      </c>
      <c r="C32" s="435"/>
      <c r="D32" s="435"/>
      <c r="E32" s="436" t="s">
        <v>20</v>
      </c>
      <c r="F32" s="436" t="s">
        <v>20</v>
      </c>
      <c r="G32" s="436"/>
      <c r="H32" s="437" t="s">
        <v>20</v>
      </c>
      <c r="I32" s="438" t="s">
        <v>20</v>
      </c>
      <c r="J32" s="409"/>
      <c r="K32" s="451"/>
      <c r="L32" s="452"/>
      <c r="M32" s="451"/>
      <c r="N32" s="451"/>
    </row>
    <row r="33" spans="1:16" s="398" customFormat="1" ht="12.75" thickBot="1">
      <c r="A33" s="439" t="s">
        <v>116</v>
      </c>
      <c r="B33" s="440" t="s">
        <v>20</v>
      </c>
      <c r="C33" s="441" t="s">
        <v>20</v>
      </c>
      <c r="D33" s="441"/>
      <c r="E33" s="441"/>
      <c r="F33" s="441"/>
      <c r="G33" s="441"/>
      <c r="H33" s="442"/>
      <c r="I33" s="443" t="e">
        <f>N33/M33</f>
        <v>#DIV/0!</v>
      </c>
      <c r="J33" s="410"/>
      <c r="K33" s="458" t="s">
        <v>20</v>
      </c>
      <c r="L33" s="460">
        <f>SUM($L$21:L32)</f>
        <v>0</v>
      </c>
      <c r="M33" s="459">
        <f>SUM($M$22:M32)</f>
        <v>105</v>
      </c>
      <c r="N33" s="531" t="e">
        <f>SUM($N$22:N32)</f>
        <v>#DIV/0!</v>
      </c>
      <c r="P33" s="395"/>
    </row>
    <row r="34" spans="1:16" ht="8.4499999999999993" customHeight="1">
      <c r="E34" t="s">
        <v>20</v>
      </c>
      <c r="G34" t="s">
        <v>20</v>
      </c>
    </row>
    <row r="35" spans="1:16" s="416" customFormat="1" ht="14.25">
      <c r="A35" s="415"/>
      <c r="B35" s="543"/>
      <c r="C35" s="543"/>
      <c r="D35" s="543"/>
      <c r="E35" s="543"/>
      <c r="F35" s="543"/>
      <c r="G35" s="543"/>
      <c r="H35" s="543"/>
      <c r="I35" s="417" t="s">
        <v>20</v>
      </c>
      <c r="J35" s="418"/>
      <c r="K35" s="1064"/>
      <c r="L35" s="561"/>
      <c r="M35" s="1064"/>
      <c r="N35" s="1064"/>
      <c r="O35" s="543"/>
      <c r="P35" s="543"/>
    </row>
    <row r="38" spans="1:16">
      <c r="A38" s="399" t="s">
        <v>20</v>
      </c>
    </row>
    <row r="39" spans="1:16">
      <c r="H39" t="s">
        <v>20</v>
      </c>
    </row>
    <row r="40" spans="1:16">
      <c r="A40" s="400" t="s">
        <v>20</v>
      </c>
    </row>
    <row r="41" spans="1:16">
      <c r="A41" s="400" t="s">
        <v>20</v>
      </c>
    </row>
    <row r="42" spans="1:16">
      <c r="A42" s="400"/>
    </row>
  </sheetData>
  <mergeCells count="1">
    <mergeCell ref="F17:G17"/>
  </mergeCells>
  <printOptions horizontalCentered="1"/>
  <pageMargins left="0.5" right="0.45" top="0.5" bottom="0.75" header="0.3" footer="0.3"/>
  <pageSetup scale="96" orientation="landscape" r:id="rId1"/>
  <headerFooter>
    <oddFooter>&amp;LDavidson Benefits Planning - An Alera Group Company</oddFooter>
  </headerFooter>
  <colBreaks count="1" manualBreakCount="1">
    <brk id="1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00BFB-F142-4777-8D39-6B277D6FA511}">
  <sheetPr codeName="Sheet18">
    <pageSetUpPr fitToPage="1"/>
  </sheetPr>
  <dimension ref="A1:X59"/>
  <sheetViews>
    <sheetView showGridLines="0" topLeftCell="E1" zoomScaleNormal="100" zoomScaleSheetLayoutView="80" workbookViewId="0">
      <selection activeCell="C8" sqref="C8"/>
    </sheetView>
  </sheetViews>
  <sheetFormatPr defaultColWidth="15.77734375" defaultRowHeight="15"/>
  <cols>
    <col min="1" max="1" width="13.6640625" style="159" hidden="1" customWidth="1"/>
    <col min="2" max="2" width="12.77734375" style="159" customWidth="1"/>
    <col min="3" max="8" width="21.109375" style="159" customWidth="1"/>
    <col min="9" max="11" width="15.77734375" style="543"/>
    <col min="12" max="12" width="38" style="461" customWidth="1"/>
    <col min="13" max="16" width="18.6640625" style="159" customWidth="1"/>
  </cols>
  <sheetData>
    <row r="1" spans="1:16" ht="23.25">
      <c r="B1" s="491" t="e">
        <f>#REF!</f>
        <v>#REF!</v>
      </c>
      <c r="L1" s="560"/>
    </row>
    <row r="2" spans="1:16" ht="18">
      <c r="B2" s="490" t="s">
        <v>117</v>
      </c>
      <c r="L2" s="560"/>
    </row>
    <row r="3" spans="1:16" ht="15" customHeight="1">
      <c r="L3" s="560"/>
    </row>
    <row r="4" spans="1:16" ht="15" customHeight="1">
      <c r="C4" s="706" t="s">
        <v>118</v>
      </c>
      <c r="D4" s="544"/>
      <c r="E4" s="489"/>
      <c r="F4" s="488"/>
      <c r="G4" s="474"/>
      <c r="H4" s="543"/>
      <c r="L4" s="560"/>
    </row>
    <row r="5" spans="1:16" ht="26.45" customHeight="1">
      <c r="C5" s="588" t="s">
        <v>119</v>
      </c>
      <c r="D5" s="592" t="s">
        <v>120</v>
      </c>
      <c r="E5" s="588" t="s">
        <v>121</v>
      </c>
      <c r="F5" s="590" t="s">
        <v>122</v>
      </c>
      <c r="G5" s="588" t="s">
        <v>123</v>
      </c>
      <c r="H5" s="543"/>
      <c r="L5" s="560"/>
    </row>
    <row r="6" spans="1:16" ht="12" customHeight="1">
      <c r="C6" s="589"/>
      <c r="D6" s="593"/>
      <c r="E6" s="589"/>
      <c r="F6" s="591"/>
      <c r="G6" s="589"/>
      <c r="H6" s="543"/>
      <c r="L6" s="560"/>
    </row>
    <row r="7" spans="1:16" ht="15" customHeight="1">
      <c r="A7" s="473"/>
      <c r="B7" s="545">
        <v>2020</v>
      </c>
      <c r="C7" s="546">
        <f>(M$9*M$12*M$16)*12</f>
        <v>186322.31999999998</v>
      </c>
      <c r="D7" s="546">
        <f>M$39</f>
        <v>75771.890000000014</v>
      </c>
      <c r="E7" s="585">
        <f>C7-D7</f>
        <v>110550.42999999996</v>
      </c>
      <c r="F7" s="546">
        <f>$M$15-D7</f>
        <v>2552812.11</v>
      </c>
      <c r="G7" s="546">
        <f>F7+C7</f>
        <v>2739134.4299999997</v>
      </c>
      <c r="H7" s="547"/>
      <c r="L7" s="548"/>
      <c r="M7" s="548"/>
      <c r="N7" s="548"/>
      <c r="O7" s="548"/>
      <c r="P7" s="548"/>
    </row>
    <row r="8" spans="1:16" ht="15" customHeight="1">
      <c r="A8" s="473"/>
      <c r="B8" s="545">
        <v>2021</v>
      </c>
      <c r="C8" s="586">
        <f>(N$9*N$12*N$16)*12</f>
        <v>221776.58663999999</v>
      </c>
      <c r="D8" s="586">
        <f>N$39</f>
        <v>250429.51</v>
      </c>
      <c r="E8" s="586">
        <f>C8-D8</f>
        <v>-28652.923360000015</v>
      </c>
      <c r="F8" s="586">
        <f>$N$15-D8</f>
        <v>2029158.49</v>
      </c>
      <c r="G8" s="586">
        <f>F8+C8</f>
        <v>2250935.0766400001</v>
      </c>
      <c r="H8" s="547"/>
      <c r="L8" s="548"/>
      <c r="M8" s="550" t="s">
        <v>111</v>
      </c>
      <c r="N8" s="549" t="s">
        <v>112</v>
      </c>
      <c r="O8" s="550" t="s">
        <v>113</v>
      </c>
      <c r="P8" s="550" t="s">
        <v>114</v>
      </c>
    </row>
    <row r="9" spans="1:16" ht="15" customHeight="1">
      <c r="A9" s="473"/>
      <c r="B9" s="545">
        <v>2022</v>
      </c>
      <c r="C9" s="586">
        <f>(O$9*O$12*O$16)*12</f>
        <v>294814.68000000005</v>
      </c>
      <c r="D9" s="586">
        <f>O$39</f>
        <v>399886.04000000004</v>
      </c>
      <c r="E9" s="586">
        <f>C9-D9</f>
        <v>-105071.35999999999</v>
      </c>
      <c r="F9" s="586">
        <f>$O$15-D9</f>
        <v>2938188.96</v>
      </c>
      <c r="G9" s="586">
        <f>F9+C9</f>
        <v>3233003.64</v>
      </c>
      <c r="H9" s="547"/>
      <c r="L9" s="567" t="s">
        <v>124</v>
      </c>
      <c r="M9" s="554">
        <v>251</v>
      </c>
      <c r="N9" s="555">
        <v>267</v>
      </c>
      <c r="O9" s="555">
        <v>289</v>
      </c>
      <c r="P9" s="555">
        <v>309</v>
      </c>
    </row>
    <row r="10" spans="1:16" ht="15" customHeight="1">
      <c r="A10" s="473"/>
      <c r="B10" s="545">
        <v>2023</v>
      </c>
      <c r="C10" s="586">
        <f>(P$9*P$12*P$16)*12</f>
        <v>303870.59999999998</v>
      </c>
      <c r="D10" s="586">
        <f>P$39</f>
        <v>0</v>
      </c>
      <c r="E10" s="586">
        <f>C10-D10</f>
        <v>303870.59999999998</v>
      </c>
      <c r="F10" s="586">
        <f>$P$15-D10</f>
        <v>3076829</v>
      </c>
      <c r="G10" s="586">
        <f>F10+C10</f>
        <v>3380699.6</v>
      </c>
      <c r="H10" s="547"/>
      <c r="L10" s="567" t="s">
        <v>125</v>
      </c>
      <c r="M10" s="557" t="s">
        <v>66</v>
      </c>
      <c r="N10" s="548" t="s">
        <v>126</v>
      </c>
      <c r="O10" s="548" t="s">
        <v>126</v>
      </c>
      <c r="P10" s="548" t="s">
        <v>127</v>
      </c>
    </row>
    <row r="11" spans="1:16" ht="15" customHeight="1">
      <c r="A11" s="487"/>
      <c r="B11" s="486" t="s">
        <v>128</v>
      </c>
      <c r="C11" s="587">
        <f>SUM(C7:C10)</f>
        <v>1006784.18664</v>
      </c>
      <c r="D11" s="587">
        <f>SUM(D7:D10)</f>
        <v>726087.44000000006</v>
      </c>
      <c r="E11" s="587">
        <f>SUM(E7:E10)</f>
        <v>280696.74663999991</v>
      </c>
      <c r="F11" s="587">
        <f>SUM(F7:F10)</f>
        <v>10596988.559999999</v>
      </c>
      <c r="G11" s="587">
        <f>SUM(G7:G10)</f>
        <v>11603772.74664</v>
      </c>
      <c r="L11" s="567" t="s">
        <v>129</v>
      </c>
      <c r="M11" s="557" t="s">
        <v>130</v>
      </c>
      <c r="N11" s="566" t="s">
        <v>131</v>
      </c>
      <c r="O11" s="548" t="s">
        <v>131</v>
      </c>
      <c r="P11" s="548" t="s">
        <v>131</v>
      </c>
    </row>
    <row r="12" spans="1:16" ht="15" customHeight="1">
      <c r="A12" s="478"/>
      <c r="B12" s="478"/>
      <c r="C12" s="478"/>
      <c r="D12" s="478"/>
      <c r="E12" s="479"/>
      <c r="F12" s="485"/>
      <c r="G12" s="478"/>
      <c r="H12" s="478"/>
      <c r="L12" s="567" t="s">
        <v>132</v>
      </c>
      <c r="M12" s="564">
        <v>103.1</v>
      </c>
      <c r="N12" s="565">
        <v>88.97</v>
      </c>
      <c r="O12" s="565">
        <v>85.01</v>
      </c>
      <c r="P12" s="565">
        <v>81.95</v>
      </c>
    </row>
    <row r="13" spans="1:16" ht="15.75">
      <c r="A13" s="478"/>
      <c r="C13" s="477" t="s">
        <v>133</v>
      </c>
      <c r="D13" s="544"/>
      <c r="E13" s="476"/>
      <c r="F13" s="484"/>
      <c r="G13" s="483"/>
      <c r="H13" s="544"/>
      <c r="L13" s="567" t="s">
        <v>19</v>
      </c>
      <c r="M13" s="557">
        <v>100000</v>
      </c>
      <c r="N13" s="548">
        <v>125000</v>
      </c>
      <c r="O13" s="548">
        <v>150000</v>
      </c>
      <c r="P13" s="548">
        <v>150000</v>
      </c>
    </row>
    <row r="14" spans="1:16">
      <c r="A14" s="478"/>
      <c r="C14" s="1147" t="str">
        <f>C5</f>
        <v>Premium That Would Have Been Paid</v>
      </c>
      <c r="D14" s="1147" t="str">
        <f>D5</f>
        <v>Claims that Would Have Been Paid by Stop Loss</v>
      </c>
      <c r="E14" s="1147" t="str">
        <f>E5</f>
        <v>Premium Surplus/(Deficit)</v>
      </c>
      <c r="F14" s="1147" t="str">
        <f>F5</f>
        <v>Net Claims That Would Have Paid</v>
      </c>
      <c r="G14" s="1147" t="str">
        <f>G5</f>
        <v>Total Premium &amp; Claims Paid</v>
      </c>
      <c r="H14" s="1147" t="s">
        <v>134</v>
      </c>
      <c r="L14" s="567" t="s">
        <v>135</v>
      </c>
      <c r="M14" s="557">
        <v>0</v>
      </c>
      <c r="N14" s="548">
        <v>0</v>
      </c>
      <c r="O14" s="548">
        <v>180000</v>
      </c>
      <c r="P14" s="548">
        <v>180000</v>
      </c>
    </row>
    <row r="15" spans="1:16" ht="15.75" thickBot="1">
      <c r="A15" s="478"/>
      <c r="C15" s="1148"/>
      <c r="D15" s="1148"/>
      <c r="E15" s="1148"/>
      <c r="F15" s="1148"/>
      <c r="G15" s="1148"/>
      <c r="H15" s="1148"/>
      <c r="L15" s="567" t="s">
        <v>136</v>
      </c>
      <c r="M15" s="552">
        <v>2628584</v>
      </c>
      <c r="N15" s="563">
        <v>2279588</v>
      </c>
      <c r="O15" s="563">
        <v>3338075</v>
      </c>
      <c r="P15" s="563">
        <v>3076829</v>
      </c>
    </row>
    <row r="16" spans="1:16" ht="15" customHeight="1" thickBot="1">
      <c r="A16" s="478"/>
      <c r="B16" s="545">
        <f>B7</f>
        <v>2020</v>
      </c>
      <c r="C16" s="585">
        <f>(C7*M$17)</f>
        <v>239480.077896</v>
      </c>
      <c r="D16" s="585">
        <f>M$49</f>
        <v>143357.52000000002</v>
      </c>
      <c r="E16" s="585">
        <f>C16-D16</f>
        <v>96122.557895999984</v>
      </c>
      <c r="F16" s="585">
        <f>$M$15-D16</f>
        <v>2485226.48</v>
      </c>
      <c r="G16" s="585">
        <f>F16+C16</f>
        <v>2724706.5578959999</v>
      </c>
      <c r="H16" s="585">
        <f>+G16-G7</f>
        <v>-14427.872103999835</v>
      </c>
      <c r="L16" s="567" t="s">
        <v>137</v>
      </c>
      <c r="M16" s="582">
        <v>0.6</v>
      </c>
      <c r="N16" s="583">
        <v>0.77800000000000002</v>
      </c>
      <c r="O16" s="583">
        <v>1</v>
      </c>
      <c r="P16" s="584">
        <v>1</v>
      </c>
    </row>
    <row r="17" spans="1:24" ht="15" customHeight="1" thickBot="1">
      <c r="A17" s="478"/>
      <c r="B17" s="545">
        <f>B8</f>
        <v>2021</v>
      </c>
      <c r="C17" s="586">
        <f>(C8*N$17)</f>
        <v>285049.44680839201</v>
      </c>
      <c r="D17" s="586">
        <f>N$49</f>
        <v>288194.98</v>
      </c>
      <c r="E17" s="586">
        <f>C17-D17</f>
        <v>-3145.533191607974</v>
      </c>
      <c r="F17" s="586">
        <f>$N$15-D17</f>
        <v>1991393.02</v>
      </c>
      <c r="G17" s="586">
        <f>F17+C17</f>
        <v>2276442.4668083922</v>
      </c>
      <c r="H17" s="586">
        <f>+G17-G8</f>
        <v>25507.390168392099</v>
      </c>
      <c r="L17" s="567" t="s">
        <v>138</v>
      </c>
      <c r="M17" s="582">
        <v>1.2853000000000001</v>
      </c>
      <c r="N17" s="583">
        <v>1.2853000000000001</v>
      </c>
      <c r="O17" s="583">
        <v>1.2853000000000001</v>
      </c>
      <c r="P17" s="584">
        <v>1.2853000000000001</v>
      </c>
      <c r="W17" s="568"/>
      <c r="X17" s="568"/>
    </row>
    <row r="18" spans="1:24" ht="15" customHeight="1" thickBot="1">
      <c r="A18" s="478"/>
      <c r="B18" s="545">
        <f>B9</f>
        <v>2022</v>
      </c>
      <c r="C18" s="586">
        <f>(C9*O$17)</f>
        <v>378925.30820400012</v>
      </c>
      <c r="D18" s="586">
        <f>O$49</f>
        <v>474886.04000000004</v>
      </c>
      <c r="E18" s="586">
        <f>C18-D18</f>
        <v>-95960.73179599992</v>
      </c>
      <c r="F18" s="586">
        <f>$O$15-D18</f>
        <v>2863188.96</v>
      </c>
      <c r="G18" s="586">
        <f>F18+C18</f>
        <v>3242114.2682039998</v>
      </c>
      <c r="H18" s="586">
        <f>+G18-G9</f>
        <v>9110.6282039997168</v>
      </c>
      <c r="L18" s="567" t="s">
        <v>139</v>
      </c>
      <c r="M18" s="582">
        <v>0.81110000000000004</v>
      </c>
      <c r="N18" s="583">
        <v>0.81110000000000004</v>
      </c>
      <c r="O18" s="583">
        <v>0.81110000000000004</v>
      </c>
      <c r="P18" s="584">
        <v>0.81110000000000004</v>
      </c>
      <c r="S18" s="543"/>
      <c r="T18" s="569"/>
      <c r="U18" s="568"/>
      <c r="V18" s="568"/>
    </row>
    <row r="19" spans="1:24" ht="15" customHeight="1">
      <c r="A19" s="478"/>
      <c r="B19" s="545">
        <f>B10</f>
        <v>2023</v>
      </c>
      <c r="C19" s="586">
        <f>(C10*P$17)</f>
        <v>390564.88218000002</v>
      </c>
      <c r="D19" s="586">
        <f>P$49</f>
        <v>0</v>
      </c>
      <c r="E19" s="586">
        <f>C19-D19</f>
        <v>390564.88218000002</v>
      </c>
      <c r="F19" s="586">
        <f>$P$15-D19</f>
        <v>3076829</v>
      </c>
      <c r="G19" s="586">
        <f>F19+C19</f>
        <v>3467393.8821800002</v>
      </c>
      <c r="H19" s="586">
        <f>+G19-G10</f>
        <v>86694.282180000097</v>
      </c>
      <c r="L19" s="543"/>
      <c r="M19" s="543"/>
      <c r="N19" s="543"/>
      <c r="O19" s="543"/>
      <c r="P19" s="543"/>
      <c r="Q19" s="543"/>
      <c r="R19" s="543"/>
      <c r="W19" s="548"/>
    </row>
    <row r="20" spans="1:24" ht="15" customHeight="1">
      <c r="A20" s="478"/>
      <c r="B20" s="471" t="s">
        <v>128</v>
      </c>
      <c r="C20" s="587">
        <f t="shared" ref="C20:H20" si="0">SUM(C16:C19)</f>
        <v>1294019.7150883921</v>
      </c>
      <c r="D20" s="587">
        <f t="shared" si="0"/>
        <v>906438.54</v>
      </c>
      <c r="E20" s="587">
        <f t="shared" si="0"/>
        <v>387581.1750883921</v>
      </c>
      <c r="F20" s="587">
        <f t="shared" si="0"/>
        <v>10416637.460000001</v>
      </c>
      <c r="G20" s="587">
        <f t="shared" si="0"/>
        <v>11710657.175088393</v>
      </c>
      <c r="H20" s="587">
        <f t="shared" si="0"/>
        <v>106884.42844839208</v>
      </c>
      <c r="L20" s="548"/>
      <c r="M20" s="1146" t="s">
        <v>140</v>
      </c>
      <c r="N20" s="1146"/>
      <c r="O20" s="1146"/>
      <c r="P20" s="1146"/>
      <c r="S20" s="548"/>
      <c r="T20" s="548"/>
      <c r="U20" s="548"/>
      <c r="V20" s="548"/>
    </row>
    <row r="21" spans="1:24" ht="15" customHeight="1">
      <c r="A21" s="478"/>
      <c r="B21" s="478"/>
      <c r="C21" s="470" t="str">
        <f>IF(H20&gt;0,"Average Annual Additional Cost: "&amp;TEXT(AVERAGE(H16:H19),"$0,000"),"Average Annual Savings: "&amp;TEXT(-AVERAGE(H16:H19),"$0,000"))</f>
        <v>Average Annual Additional Cost: $26,721</v>
      </c>
      <c r="D21" s="482"/>
      <c r="E21" s="481"/>
      <c r="F21" s="480"/>
      <c r="G21" s="478"/>
      <c r="H21" s="478" t="s">
        <v>20</v>
      </c>
      <c r="L21" s="543"/>
      <c r="M21" s="573"/>
      <c r="N21" s="573"/>
      <c r="O21" s="573"/>
      <c r="P21" s="573"/>
      <c r="Q21" s="543"/>
      <c r="R21" s="543"/>
    </row>
    <row r="22" spans="1:24" ht="15" customHeight="1">
      <c r="A22" s="478"/>
      <c r="B22" s="478"/>
      <c r="C22" s="478"/>
      <c r="D22" s="482"/>
      <c r="E22" s="481"/>
      <c r="F22" s="480"/>
      <c r="G22" s="478"/>
      <c r="H22" s="478"/>
      <c r="L22" s="548"/>
      <c r="M22" s="574" t="str">
        <f>M8</f>
        <v>1/20 - 12/20</v>
      </c>
      <c r="N22" s="575" t="str">
        <f>N8</f>
        <v>1/21 - 12/21</v>
      </c>
      <c r="O22" s="574" t="str">
        <f>O8</f>
        <v>1/22 - 12/22</v>
      </c>
      <c r="P22" s="574" t="str">
        <f>P8</f>
        <v>1/23 - 12/23</v>
      </c>
    </row>
    <row r="23" spans="1:24" ht="15" customHeight="1">
      <c r="C23" s="477" t="s">
        <v>141</v>
      </c>
      <c r="D23" s="544"/>
      <c r="E23" s="476"/>
      <c r="F23" s="475"/>
      <c r="G23" s="474"/>
      <c r="H23" s="544"/>
      <c r="L23" s="548"/>
      <c r="M23" s="576">
        <v>217998.6</v>
      </c>
      <c r="N23" s="577">
        <v>400429.51</v>
      </c>
      <c r="O23" s="577">
        <v>487712.72</v>
      </c>
      <c r="P23" s="577">
        <v>278994.12</v>
      </c>
    </row>
    <row r="24" spans="1:24" ht="12" customHeight="1">
      <c r="C24" s="1147" t="str">
        <f>C5</f>
        <v>Premium That Would Have Been Paid</v>
      </c>
      <c r="D24" s="1147" t="str">
        <f>D5</f>
        <v>Claims that Would Have Been Paid by Stop Loss</v>
      </c>
      <c r="E24" s="1147" t="str">
        <f>E5</f>
        <v>Premium Surplus/(Deficit)</v>
      </c>
      <c r="F24" s="1147" t="str">
        <f>F5</f>
        <v>Net Claims That Would Have Paid</v>
      </c>
      <c r="G24" s="1147" t="str">
        <f>G5</f>
        <v>Total Premium &amp; Claims Paid</v>
      </c>
      <c r="H24" s="1147" t="str">
        <f>H14</f>
        <v>Est. Costs / (Savings)</v>
      </c>
      <c r="L24" s="561"/>
      <c r="M24" s="578">
        <v>157773.29</v>
      </c>
      <c r="N24" s="579">
        <v>137765.47</v>
      </c>
      <c r="O24" s="579">
        <v>345103.4</v>
      </c>
      <c r="P24" s="579">
        <v>121435.13</v>
      </c>
    </row>
    <row r="25" spans="1:24" ht="12" customHeight="1">
      <c r="C25" s="1148"/>
      <c r="D25" s="1148"/>
      <c r="E25" s="1148"/>
      <c r="F25" s="1148"/>
      <c r="G25" s="1148"/>
      <c r="H25" s="1148"/>
      <c r="L25" s="561"/>
      <c r="M25" s="578">
        <v>142585.63</v>
      </c>
      <c r="N25" s="579"/>
      <c r="O25" s="579">
        <v>197069.92</v>
      </c>
      <c r="P25" s="579">
        <v>113405.78</v>
      </c>
    </row>
    <row r="26" spans="1:24" ht="15" customHeight="1">
      <c r="A26" s="473"/>
      <c r="B26" s="545">
        <f>B16</f>
        <v>2020</v>
      </c>
      <c r="C26" s="585">
        <f>(C7*M$18)</f>
        <v>151126.03375199999</v>
      </c>
      <c r="D26" s="585">
        <f>M$59</f>
        <v>42998.600000000006</v>
      </c>
      <c r="E26" s="585">
        <f>C26-D26</f>
        <v>108127.43375199998</v>
      </c>
      <c r="F26" s="585">
        <f>$M$15-D26</f>
        <v>2585585.4</v>
      </c>
      <c r="G26" s="585">
        <f>F26+C26</f>
        <v>2736711.4337519999</v>
      </c>
      <c r="H26" s="585">
        <f>+G26-G7</f>
        <v>-2422.9962479998358</v>
      </c>
      <c r="L26" s="548"/>
      <c r="M26" s="578">
        <v>122423.37</v>
      </c>
      <c r="N26" s="579"/>
      <c r="O26" s="579">
        <v>100533.12</v>
      </c>
      <c r="P26" s="579"/>
    </row>
    <row r="27" spans="1:24" ht="15" customHeight="1">
      <c r="A27" s="473"/>
      <c r="B27" s="545">
        <f>B17</f>
        <v>2021</v>
      </c>
      <c r="C27" s="586">
        <f>(C8*N$18)</f>
        <v>179882.98942370401</v>
      </c>
      <c r="D27" s="586">
        <f>N$59</f>
        <v>225429.51</v>
      </c>
      <c r="E27" s="586">
        <f>C27-D27</f>
        <v>-45546.520576295996</v>
      </c>
      <c r="F27" s="586">
        <f>$N$15-D27</f>
        <v>2054158.49</v>
      </c>
      <c r="G27" s="586">
        <f>F27+C27</f>
        <v>2234041.4794237041</v>
      </c>
      <c r="H27" s="586">
        <f>+G27-G8</f>
        <v>-16893.59721629601</v>
      </c>
      <c r="L27" s="548"/>
      <c r="M27" s="578">
        <v>122363.43</v>
      </c>
      <c r="N27" s="579"/>
      <c r="O27" s="579"/>
      <c r="P27" s="579"/>
    </row>
    <row r="28" spans="1:24" ht="15" customHeight="1">
      <c r="A28" s="473"/>
      <c r="B28" s="545">
        <f>B18</f>
        <v>2022</v>
      </c>
      <c r="C28" s="586">
        <f>(C9*O$18)</f>
        <v>239124.18694800005</v>
      </c>
      <c r="D28" s="586">
        <f>O$59</f>
        <v>324886.04000000004</v>
      </c>
      <c r="E28" s="586">
        <f>C28-D28</f>
        <v>-85761.853051999991</v>
      </c>
      <c r="F28" s="586">
        <f>$O$15-D28</f>
        <v>3013188.96</v>
      </c>
      <c r="G28" s="586">
        <f>F28+C28</f>
        <v>3252313.146948</v>
      </c>
      <c r="H28" s="586">
        <f>+G28-G9</f>
        <v>19309.50694799982</v>
      </c>
      <c r="L28" s="553"/>
      <c r="M28" s="580">
        <v>114552.31</v>
      </c>
      <c r="N28" s="581"/>
      <c r="O28" s="581"/>
      <c r="P28" s="581"/>
    </row>
    <row r="29" spans="1:24" ht="15" customHeight="1">
      <c r="A29" s="473"/>
      <c r="B29" s="545">
        <f>B19</f>
        <v>2023</v>
      </c>
      <c r="C29" s="586">
        <f>(C10*P$18)</f>
        <v>246469.44365999999</v>
      </c>
      <c r="D29" s="586">
        <f>P$59</f>
        <v>0</v>
      </c>
      <c r="E29" s="586">
        <f>C29-D29</f>
        <v>246469.44365999999</v>
      </c>
      <c r="F29" s="586">
        <f>$P$15-D29</f>
        <v>3076829</v>
      </c>
      <c r="G29" s="586">
        <f>F29+C29</f>
        <v>3323298.4436599999</v>
      </c>
      <c r="H29" s="586">
        <f>+G29-G10</f>
        <v>-57401.15634000022</v>
      </c>
      <c r="L29" s="548"/>
      <c r="M29" s="548"/>
      <c r="N29" s="548"/>
      <c r="O29" s="548"/>
      <c r="P29" s="548"/>
    </row>
    <row r="30" spans="1:24" ht="15" customHeight="1">
      <c r="A30" s="472"/>
      <c r="B30" s="471" t="s">
        <v>128</v>
      </c>
      <c r="C30" s="587">
        <f t="shared" ref="C30:H30" si="1">SUM(C26:C29)</f>
        <v>816602.65378370404</v>
      </c>
      <c r="D30" s="587">
        <f t="shared" si="1"/>
        <v>593314.15</v>
      </c>
      <c r="E30" s="587">
        <f t="shared" si="1"/>
        <v>223288.50378370399</v>
      </c>
      <c r="F30" s="587">
        <f t="shared" si="1"/>
        <v>10729761.85</v>
      </c>
      <c r="G30" s="587">
        <f t="shared" si="1"/>
        <v>11546364.503783705</v>
      </c>
      <c r="H30" s="587">
        <f t="shared" si="1"/>
        <v>-57408.242856296245</v>
      </c>
      <c r="L30" s="551"/>
      <c r="M30" s="548"/>
      <c r="N30" s="548"/>
      <c r="O30" s="548"/>
      <c r="P30" s="548"/>
    </row>
    <row r="31" spans="1:24" ht="15" customHeight="1" thickBot="1">
      <c r="A31" s="468"/>
      <c r="B31" s="468"/>
      <c r="C31" s="470" t="str">
        <f>IF(H30&gt;0,"Average Annual Additional Cost: "&amp;TEXT(AVERAGE(H26:H29),"$0,000"),"Average Annual Savings: "&amp;TEXT(-AVERAGE(H26:H29),"$0,000"))</f>
        <v>Average Annual Savings: $14,352</v>
      </c>
      <c r="D31" s="468"/>
      <c r="E31" s="468"/>
      <c r="F31" s="468"/>
      <c r="G31" s="468"/>
      <c r="H31" s="468" t="s">
        <v>20</v>
      </c>
      <c r="L31" s="548"/>
      <c r="M31" s="548"/>
      <c r="N31" s="548"/>
      <c r="O31" s="548"/>
      <c r="P31" s="548"/>
    </row>
    <row r="32" spans="1:24" ht="15" customHeight="1" thickBot="1">
      <c r="A32" s="468"/>
      <c r="B32" s="468"/>
      <c r="C32" s="468"/>
      <c r="D32" s="468"/>
      <c r="E32" s="468"/>
      <c r="F32" s="468"/>
      <c r="G32" s="468"/>
      <c r="H32" s="468" t="s">
        <v>20</v>
      </c>
      <c r="L32" s="570">
        <v>150000</v>
      </c>
      <c r="M32" s="550" t="str">
        <f>M8</f>
        <v>1/20 - 12/20</v>
      </c>
      <c r="N32" s="550" t="str">
        <f>N8</f>
        <v>1/21 - 12/21</v>
      </c>
      <c r="O32" s="550" t="str">
        <f>O8</f>
        <v>1/22 - 12/22</v>
      </c>
      <c r="P32" s="550" t="str">
        <f>P8</f>
        <v>1/23 - 12/23</v>
      </c>
    </row>
    <row r="33" spans="1:16">
      <c r="A33" s="468"/>
      <c r="B33" s="468"/>
      <c r="C33" s="469" t="s">
        <v>142</v>
      </c>
      <c r="D33" s="468"/>
      <c r="E33" s="468"/>
      <c r="F33" s="468"/>
      <c r="G33" s="468"/>
      <c r="H33" s="468"/>
      <c r="L33" s="548"/>
      <c r="M33" s="572">
        <f t="shared" ref="M33:P38" si="2">MAX(0,M23-$L$32)</f>
        <v>67998.600000000006</v>
      </c>
      <c r="N33" s="572">
        <f t="shared" si="2"/>
        <v>250429.51</v>
      </c>
      <c r="O33" s="572">
        <f t="shared" si="2"/>
        <v>337712.72</v>
      </c>
      <c r="P33" s="572">
        <f t="shared" si="2"/>
        <v>128994.12</v>
      </c>
    </row>
    <row r="34" spans="1:16" ht="15.75">
      <c r="A34" s="468"/>
      <c r="B34" s="468"/>
      <c r="C34" s="468"/>
      <c r="D34" s="468"/>
      <c r="E34" s="468"/>
      <c r="F34" s="468"/>
      <c r="G34" s="468"/>
      <c r="H34" s="468"/>
      <c r="L34" s="556"/>
      <c r="M34" s="558">
        <f t="shared" si="2"/>
        <v>7773.2900000000081</v>
      </c>
      <c r="N34" s="558">
        <f t="shared" si="2"/>
        <v>0</v>
      </c>
      <c r="O34" s="558">
        <f t="shared" si="2"/>
        <v>195103.40000000002</v>
      </c>
      <c r="P34" s="558">
        <f t="shared" si="2"/>
        <v>0</v>
      </c>
    </row>
    <row r="35" spans="1:16" ht="15.75">
      <c r="A35" s="468"/>
      <c r="B35" s="468"/>
      <c r="C35" s="468"/>
      <c r="D35" s="468"/>
      <c r="E35" s="468"/>
      <c r="F35" s="468"/>
      <c r="G35" s="468"/>
      <c r="H35" s="468"/>
      <c r="L35" s="556"/>
      <c r="M35" s="558">
        <f t="shared" si="2"/>
        <v>0</v>
      </c>
      <c r="N35" s="558">
        <f t="shared" si="2"/>
        <v>0</v>
      </c>
      <c r="O35" s="558">
        <f t="shared" si="2"/>
        <v>47069.920000000013</v>
      </c>
      <c r="P35" s="558">
        <f t="shared" si="2"/>
        <v>0</v>
      </c>
    </row>
    <row r="36" spans="1:16" ht="15.75">
      <c r="A36" s="468"/>
      <c r="B36" s="468"/>
      <c r="C36" s="468"/>
      <c r="D36" s="468"/>
      <c r="E36" s="468"/>
      <c r="F36" s="468"/>
      <c r="G36" s="468"/>
      <c r="H36" s="468"/>
      <c r="L36" s="556"/>
      <c r="M36" s="558">
        <f t="shared" si="2"/>
        <v>0</v>
      </c>
      <c r="N36" s="558">
        <f t="shared" si="2"/>
        <v>0</v>
      </c>
      <c r="O36" s="558">
        <f t="shared" si="2"/>
        <v>0</v>
      </c>
      <c r="P36" s="558">
        <f t="shared" si="2"/>
        <v>0</v>
      </c>
    </row>
    <row r="37" spans="1:16" ht="15.75">
      <c r="A37" s="468"/>
      <c r="B37" s="468"/>
      <c r="C37" s="468"/>
      <c r="D37" s="468"/>
      <c r="E37" s="468"/>
      <c r="F37" s="468"/>
      <c r="G37" s="468"/>
      <c r="H37" s="468"/>
      <c r="L37" s="556"/>
      <c r="M37" s="558">
        <f t="shared" si="2"/>
        <v>0</v>
      </c>
      <c r="N37" s="558">
        <f t="shared" si="2"/>
        <v>0</v>
      </c>
      <c r="O37" s="558">
        <f t="shared" si="2"/>
        <v>0</v>
      </c>
      <c r="P37" s="558">
        <f t="shared" si="2"/>
        <v>0</v>
      </c>
    </row>
    <row r="38" spans="1:16" ht="15.75">
      <c r="A38" s="468"/>
      <c r="B38" s="468"/>
      <c r="C38" s="468"/>
      <c r="D38" s="468"/>
      <c r="E38" s="468"/>
      <c r="F38" s="468"/>
      <c r="G38" s="468"/>
      <c r="H38" s="468"/>
      <c r="L38" s="556"/>
      <c r="M38" s="558">
        <f t="shared" si="2"/>
        <v>0</v>
      </c>
      <c r="N38" s="558">
        <f t="shared" si="2"/>
        <v>0</v>
      </c>
      <c r="O38" s="558">
        <f t="shared" si="2"/>
        <v>0</v>
      </c>
      <c r="P38" s="558">
        <f t="shared" si="2"/>
        <v>0</v>
      </c>
    </row>
    <row r="39" spans="1:16" ht="15.75">
      <c r="A39" s="468"/>
      <c r="B39" s="468"/>
      <c r="C39" s="468"/>
      <c r="D39" s="468"/>
      <c r="E39" s="468"/>
      <c r="F39" s="468"/>
      <c r="G39" s="468"/>
      <c r="H39" s="468"/>
      <c r="L39" s="571" t="s">
        <v>60</v>
      </c>
      <c r="M39" s="559">
        <f>MAX(0,(SUM(M33:M38)-M$14))</f>
        <v>75771.890000000014</v>
      </c>
      <c r="N39" s="559">
        <f>MAX(0,(SUM(N33:N38)-N$14))</f>
        <v>250429.51</v>
      </c>
      <c r="O39" s="559">
        <f>MAX(0,(SUM(O33:O38)-O$14))</f>
        <v>399886.04000000004</v>
      </c>
      <c r="P39" s="559">
        <f>MAX(0,(SUM(P33:P38)-P$14))</f>
        <v>0</v>
      </c>
    </row>
    <row r="40" spans="1:16" ht="15.75">
      <c r="A40" s="468"/>
      <c r="B40" s="468"/>
      <c r="C40" s="468"/>
      <c r="D40" s="468"/>
      <c r="E40" s="468"/>
      <c r="F40" s="468"/>
      <c r="G40" s="468"/>
      <c r="H40" s="468"/>
      <c r="L40" s="560"/>
      <c r="M40" s="548"/>
      <c r="N40" s="548"/>
      <c r="O40" s="548"/>
      <c r="P40" s="548"/>
    </row>
    <row r="41" spans="1:16" ht="16.5" thickBot="1">
      <c r="A41" s="468"/>
      <c r="B41" s="468"/>
      <c r="C41" s="468"/>
      <c r="D41" s="468"/>
      <c r="E41" s="468"/>
      <c r="F41" s="468"/>
      <c r="G41" s="468"/>
      <c r="H41" s="468"/>
      <c r="L41" s="560"/>
      <c r="M41" s="562"/>
      <c r="N41" s="562"/>
      <c r="O41" s="562"/>
      <c r="P41" s="562"/>
    </row>
    <row r="42" spans="1:16" ht="15.75" thickBot="1">
      <c r="A42" s="468"/>
      <c r="B42" s="468"/>
      <c r="C42" s="468"/>
      <c r="D42" s="468"/>
      <c r="E42" s="468"/>
      <c r="F42" s="468"/>
      <c r="G42" s="468"/>
      <c r="H42" s="468"/>
      <c r="L42" s="570">
        <v>125000</v>
      </c>
      <c r="M42" s="550" t="str">
        <f>M8</f>
        <v>1/20 - 12/20</v>
      </c>
      <c r="N42" s="550" t="str">
        <f>N8</f>
        <v>1/21 - 12/21</v>
      </c>
      <c r="O42" s="550" t="str">
        <f>O8</f>
        <v>1/22 - 12/22</v>
      </c>
      <c r="P42" s="550" t="str">
        <f>P8</f>
        <v>1/23 - 12/23</v>
      </c>
    </row>
    <row r="43" spans="1:16">
      <c r="A43" s="468"/>
      <c r="B43" s="468"/>
      <c r="C43" s="468"/>
      <c r="D43" s="468"/>
      <c r="E43" s="468"/>
      <c r="F43" s="468"/>
      <c r="G43" s="468"/>
      <c r="H43" s="468"/>
      <c r="L43" s="548"/>
      <c r="M43" s="572">
        <f>MAX(0,M23-$L$42)</f>
        <v>92998.6</v>
      </c>
      <c r="N43" s="572">
        <f>MAX(0,N23-$L$42)</f>
        <v>275429.51</v>
      </c>
      <c r="O43" s="572">
        <f>MAX(0,O23-$L$42)</f>
        <v>362712.72</v>
      </c>
      <c r="P43" s="572">
        <f>MAX(0,P23-$L$42)</f>
        <v>153994.12</v>
      </c>
    </row>
    <row r="44" spans="1:16" ht="15.75">
      <c r="A44" s="468"/>
      <c r="B44" s="468"/>
      <c r="C44" s="468"/>
      <c r="D44" s="468"/>
      <c r="E44" s="468"/>
      <c r="F44" s="468"/>
      <c r="G44" s="468"/>
      <c r="H44" s="468"/>
      <c r="L44" s="556"/>
      <c r="M44" s="558">
        <f t="shared" ref="M44:P48" si="3">MAX(0,M24-$L$42)</f>
        <v>32773.290000000008</v>
      </c>
      <c r="N44" s="558">
        <f t="shared" si="3"/>
        <v>12765.470000000001</v>
      </c>
      <c r="O44" s="558">
        <f t="shared" si="3"/>
        <v>220103.40000000002</v>
      </c>
      <c r="P44" s="558">
        <f t="shared" si="3"/>
        <v>0</v>
      </c>
    </row>
    <row r="45" spans="1:16" ht="15.75">
      <c r="A45" s="468"/>
      <c r="B45" s="468"/>
      <c r="C45" s="468"/>
      <c r="D45" s="468"/>
      <c r="E45" s="468"/>
      <c r="F45" s="468"/>
      <c r="G45" s="468"/>
      <c r="H45" s="468"/>
      <c r="L45" s="556"/>
      <c r="M45" s="558">
        <f t="shared" si="3"/>
        <v>17585.630000000005</v>
      </c>
      <c r="N45" s="558">
        <f t="shared" si="3"/>
        <v>0</v>
      </c>
      <c r="O45" s="558">
        <f t="shared" si="3"/>
        <v>72069.920000000013</v>
      </c>
      <c r="P45" s="558">
        <f t="shared" si="3"/>
        <v>0</v>
      </c>
    </row>
    <row r="46" spans="1:16" ht="15.75">
      <c r="A46" s="468"/>
      <c r="B46" s="468"/>
      <c r="C46" s="468"/>
      <c r="D46" s="468"/>
      <c r="E46" s="468"/>
      <c r="F46" s="468"/>
      <c r="G46" s="468"/>
      <c r="H46" s="468"/>
      <c r="L46" s="556"/>
      <c r="M46" s="558">
        <f t="shared" si="3"/>
        <v>0</v>
      </c>
      <c r="N46" s="558">
        <f t="shared" si="3"/>
        <v>0</v>
      </c>
      <c r="O46" s="558">
        <f t="shared" si="3"/>
        <v>0</v>
      </c>
      <c r="P46" s="558">
        <f t="shared" si="3"/>
        <v>0</v>
      </c>
    </row>
    <row r="47" spans="1:16" ht="15.75">
      <c r="A47" s="468"/>
      <c r="B47" s="468"/>
      <c r="C47" s="468"/>
      <c r="D47" s="468"/>
      <c r="E47" s="468"/>
      <c r="F47" s="468"/>
      <c r="G47" s="468"/>
      <c r="H47" s="468"/>
      <c r="L47" s="556"/>
      <c r="M47" s="558">
        <f t="shared" si="3"/>
        <v>0</v>
      </c>
      <c r="N47" s="558">
        <f t="shared" si="3"/>
        <v>0</v>
      </c>
      <c r="O47" s="558">
        <f t="shared" si="3"/>
        <v>0</v>
      </c>
      <c r="P47" s="558">
        <f t="shared" si="3"/>
        <v>0</v>
      </c>
    </row>
    <row r="48" spans="1:16" ht="15.75">
      <c r="A48" s="468"/>
      <c r="B48" s="468"/>
      <c r="C48" s="468"/>
      <c r="D48" s="468"/>
      <c r="E48" s="468"/>
      <c r="F48" s="468"/>
      <c r="G48" s="468"/>
      <c r="H48" s="468"/>
      <c r="L48" s="556"/>
      <c r="M48" s="558">
        <f t="shared" si="3"/>
        <v>0</v>
      </c>
      <c r="N48" s="558">
        <f t="shared" si="3"/>
        <v>0</v>
      </c>
      <c r="O48" s="558">
        <f t="shared" si="3"/>
        <v>0</v>
      </c>
      <c r="P48" s="558">
        <f t="shared" si="3"/>
        <v>0</v>
      </c>
    </row>
    <row r="49" spans="1:16" ht="15.75">
      <c r="A49" s="468"/>
      <c r="B49" s="468"/>
      <c r="C49" s="468"/>
      <c r="D49" s="468"/>
      <c r="E49" s="468"/>
      <c r="F49" s="468"/>
      <c r="G49" s="468"/>
      <c r="H49" s="468"/>
      <c r="L49" s="571" t="s">
        <v>60</v>
      </c>
      <c r="M49" s="559">
        <f>MAX(0,(SUM(M43:M48)-M$14))</f>
        <v>143357.52000000002</v>
      </c>
      <c r="N49" s="559">
        <f>MAX(0,(SUM(N43:N48)-N$14))</f>
        <v>288194.98</v>
      </c>
      <c r="O49" s="559">
        <f>MAX(0,(SUM(O43:O48)-O$14))</f>
        <v>474886.04000000004</v>
      </c>
      <c r="P49" s="559">
        <f>MAX(0,(SUM(P43:P48)-P$14))</f>
        <v>0</v>
      </c>
    </row>
    <row r="50" spans="1:16">
      <c r="A50" s="468"/>
      <c r="B50" s="468"/>
      <c r="C50" s="468"/>
      <c r="D50" s="468"/>
      <c r="E50" s="468"/>
      <c r="F50" s="468"/>
      <c r="G50" s="468"/>
      <c r="H50" s="468"/>
    </row>
    <row r="51" spans="1:16" ht="15.75" thickBot="1">
      <c r="A51" s="468"/>
      <c r="B51" s="468"/>
      <c r="C51" s="468"/>
      <c r="D51" s="468"/>
      <c r="E51" s="468"/>
      <c r="F51" s="468"/>
      <c r="G51" s="468"/>
      <c r="H51" s="468"/>
    </row>
    <row r="52" spans="1:16" ht="15.75" thickBot="1">
      <c r="A52" s="468"/>
      <c r="B52" s="468"/>
      <c r="C52" s="468"/>
      <c r="D52" s="468"/>
      <c r="E52" s="468"/>
      <c r="F52" s="468"/>
      <c r="G52" s="468"/>
      <c r="H52" s="468"/>
      <c r="L52" s="570">
        <v>175000</v>
      </c>
      <c r="M52" s="550" t="str">
        <f>M8</f>
        <v>1/20 - 12/20</v>
      </c>
      <c r="N52" s="550" t="str">
        <f>N8</f>
        <v>1/21 - 12/21</v>
      </c>
      <c r="O52" s="550" t="str">
        <f>O8</f>
        <v>1/22 - 12/22</v>
      </c>
      <c r="P52" s="550" t="str">
        <f>P8</f>
        <v>1/23 - 12/23</v>
      </c>
    </row>
    <row r="53" spans="1:16">
      <c r="A53" s="468"/>
      <c r="B53" s="468"/>
      <c r="C53" s="468"/>
      <c r="D53" s="468"/>
      <c r="E53" s="468"/>
      <c r="F53" s="468"/>
      <c r="G53" s="468"/>
      <c r="H53" s="468"/>
      <c r="L53" s="548"/>
      <c r="M53" s="572">
        <f>MAX(0,M23-$L$52)</f>
        <v>42998.600000000006</v>
      </c>
      <c r="N53" s="572">
        <f>MAX(0,N23-$L$52)</f>
        <v>225429.51</v>
      </c>
      <c r="O53" s="572">
        <f>MAX(0,O23-$L$52)</f>
        <v>312712.71999999997</v>
      </c>
      <c r="P53" s="572">
        <f>MAX(0,P23-$L$52)</f>
        <v>103994.12</v>
      </c>
    </row>
    <row r="54" spans="1:16" ht="15.75">
      <c r="A54" s="468"/>
      <c r="B54" s="468"/>
      <c r="C54" s="468"/>
      <c r="D54" s="468"/>
      <c r="E54" s="468"/>
      <c r="F54" s="468"/>
      <c r="G54" s="468"/>
      <c r="H54" s="468"/>
      <c r="L54" s="556"/>
      <c r="M54" s="558">
        <f t="shared" ref="M54:P58" si="4">MAX(0,M24-$L$52)</f>
        <v>0</v>
      </c>
      <c r="N54" s="558">
        <f t="shared" si="4"/>
        <v>0</v>
      </c>
      <c r="O54" s="558">
        <f t="shared" si="4"/>
        <v>170103.40000000002</v>
      </c>
      <c r="P54" s="558">
        <f t="shared" si="4"/>
        <v>0</v>
      </c>
    </row>
    <row r="55" spans="1:16" ht="15.75">
      <c r="A55" s="468"/>
      <c r="B55" s="468"/>
      <c r="C55" s="468"/>
      <c r="D55" s="468"/>
      <c r="E55" s="468"/>
      <c r="F55" s="468"/>
      <c r="G55" s="468"/>
      <c r="H55" s="468"/>
      <c r="L55" s="556"/>
      <c r="M55" s="558">
        <f t="shared" si="4"/>
        <v>0</v>
      </c>
      <c r="N55" s="558">
        <f t="shared" si="4"/>
        <v>0</v>
      </c>
      <c r="O55" s="558">
        <f t="shared" si="4"/>
        <v>22069.920000000013</v>
      </c>
      <c r="P55" s="558">
        <f t="shared" si="4"/>
        <v>0</v>
      </c>
    </row>
    <row r="56" spans="1:16" ht="15.75">
      <c r="A56" s="468"/>
      <c r="B56" s="468"/>
      <c r="C56" s="468"/>
      <c r="D56" s="468"/>
      <c r="E56" s="468"/>
      <c r="F56" s="468"/>
      <c r="G56" s="468"/>
      <c r="H56" s="468"/>
      <c r="L56" s="556"/>
      <c r="M56" s="558">
        <f t="shared" si="4"/>
        <v>0</v>
      </c>
      <c r="N56" s="558">
        <f t="shared" si="4"/>
        <v>0</v>
      </c>
      <c r="O56" s="558">
        <f t="shared" si="4"/>
        <v>0</v>
      </c>
      <c r="P56" s="558">
        <f t="shared" si="4"/>
        <v>0</v>
      </c>
    </row>
    <row r="57" spans="1:16" ht="15.75">
      <c r="A57" s="468"/>
      <c r="B57" s="468"/>
      <c r="C57" s="468"/>
      <c r="D57" s="468"/>
      <c r="E57" s="468"/>
      <c r="F57" s="468"/>
      <c r="G57" s="468"/>
      <c r="H57" s="468"/>
      <c r="L57" s="556"/>
      <c r="M57" s="558">
        <f t="shared" si="4"/>
        <v>0</v>
      </c>
      <c r="N57" s="558">
        <f t="shared" si="4"/>
        <v>0</v>
      </c>
      <c r="O57" s="558">
        <f t="shared" si="4"/>
        <v>0</v>
      </c>
      <c r="P57" s="558">
        <f t="shared" si="4"/>
        <v>0</v>
      </c>
    </row>
    <row r="58" spans="1:16" ht="15.75">
      <c r="L58" s="556"/>
      <c r="M58" s="558">
        <f t="shared" si="4"/>
        <v>0</v>
      </c>
      <c r="N58" s="558">
        <f t="shared" si="4"/>
        <v>0</v>
      </c>
      <c r="O58" s="558">
        <f t="shared" si="4"/>
        <v>0</v>
      </c>
      <c r="P58" s="558">
        <f t="shared" si="4"/>
        <v>0</v>
      </c>
    </row>
    <row r="59" spans="1:16" ht="15.75">
      <c r="L59" s="571" t="s">
        <v>60</v>
      </c>
      <c r="M59" s="559">
        <f>MAX(0,(SUM(M53:M58)-M$14))</f>
        <v>42998.600000000006</v>
      </c>
      <c r="N59" s="559">
        <f>MAX(0,(SUM(N53:N58)-N$14))</f>
        <v>225429.51</v>
      </c>
      <c r="O59" s="559">
        <f>MAX(0,(SUM(O53:O58)-O$14))</f>
        <v>324886.04000000004</v>
      </c>
      <c r="P59" s="559">
        <f>MAX(0,(SUM(P53:P58)-P$14))</f>
        <v>0</v>
      </c>
    </row>
  </sheetData>
  <mergeCells count="13">
    <mergeCell ref="M20:P20"/>
    <mergeCell ref="E24:E25"/>
    <mergeCell ref="D24:D25"/>
    <mergeCell ref="D14:D15"/>
    <mergeCell ref="C14:C15"/>
    <mergeCell ref="E14:E15"/>
    <mergeCell ref="H14:H15"/>
    <mergeCell ref="H24:H25"/>
    <mergeCell ref="G14:G15"/>
    <mergeCell ref="F14:F15"/>
    <mergeCell ref="C24:C25"/>
    <mergeCell ref="G24:G25"/>
    <mergeCell ref="F24:F25"/>
  </mergeCells>
  <printOptions horizontalCentered="1"/>
  <pageMargins left="0.25" right="0.25" top="0.25" bottom="0.25" header="0.25" footer="0.25"/>
  <pageSetup scale="83" orientation="landscape" r:id="rId1"/>
  <headerFooter scaleWithDoc="0" alignWithMargins="0">
    <oddHeader>&amp;R&amp;G</oddHeader>
    <oddFooter xml:space="preserve">&amp;L&amp;"Arial,Regular"           Davidson Benefits Planning - An Alera Group Company 
&amp;C
</oddFooter>
  </headerFooter>
  <rowBreaks count="1" manualBreakCount="1">
    <brk id="33" max="7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C5194-966F-46B3-ADAB-9C2756C24B29}">
  <dimension ref="A2:E194"/>
  <sheetViews>
    <sheetView workbookViewId="0">
      <selection activeCell="E14" sqref="E14"/>
    </sheetView>
  </sheetViews>
  <sheetFormatPr defaultColWidth="9.21875" defaultRowHeight="12.75"/>
  <cols>
    <col min="1" max="1" width="28.109375" style="707" customWidth="1"/>
    <col min="2" max="2" width="16.77734375" style="708" customWidth="1"/>
    <col min="3" max="3" width="12.5546875" style="707" customWidth="1"/>
    <col min="4" max="4" width="9.21875" style="707"/>
    <col min="5" max="5" width="12.5546875" style="707" customWidth="1"/>
    <col min="6" max="16384" width="9.21875" style="707"/>
  </cols>
  <sheetData>
    <row r="2" spans="1:5">
      <c r="D2" s="707" t="s">
        <v>143</v>
      </c>
    </row>
    <row r="3" spans="1:5">
      <c r="A3" s="707" t="s">
        <v>144</v>
      </c>
      <c r="B3" s="708" t="s">
        <v>145</v>
      </c>
      <c r="D3" s="707" t="s">
        <v>146</v>
      </c>
    </row>
    <row r="4" spans="1:5">
      <c r="A4" s="709" t="s">
        <v>147</v>
      </c>
      <c r="B4" s="708">
        <v>2190496.94</v>
      </c>
      <c r="C4" s="708">
        <f>GETPIVOTDATA("Total Paid",$A$3,"Member Name","CARROLL, CRAIG")-650000</f>
        <v>1540496.94</v>
      </c>
    </row>
    <row r="5" spans="1:5">
      <c r="A5" s="709" t="s">
        <v>148</v>
      </c>
      <c r="B5" s="708">
        <v>440729.41</v>
      </c>
      <c r="C5" s="708">
        <f>GETPIVOTDATA("Total Paid",$A$3,"Member Name","RIEDEL, KYNSIE")-375000</f>
        <v>65729.409999999974</v>
      </c>
      <c r="E5" s="708">
        <f>GETPIVOTDATA("Total Paid",$A$3,"Member Name","CARROLL, CRAIG")+GETPIVOTDATA("Total Paid",$A$3,"Member Name","RIEDEL, KYNSIE")</f>
        <v>2631226.35</v>
      </c>
    </row>
    <row r="6" spans="1:5">
      <c r="A6" s="709" t="s">
        <v>149</v>
      </c>
      <c r="B6" s="708">
        <v>201337.87999999998</v>
      </c>
      <c r="C6" s="708"/>
    </row>
    <row r="7" spans="1:5">
      <c r="A7" s="709" t="s">
        <v>150</v>
      </c>
      <c r="B7" s="708">
        <v>163102.81</v>
      </c>
    </row>
    <row r="8" spans="1:5">
      <c r="A8" s="709" t="s">
        <v>151</v>
      </c>
      <c r="B8" s="708">
        <v>156614.57999999999</v>
      </c>
    </row>
    <row r="9" spans="1:5">
      <c r="A9" s="709" t="s">
        <v>152</v>
      </c>
      <c r="B9" s="708">
        <v>146685.70000000001</v>
      </c>
    </row>
    <row r="10" spans="1:5">
      <c r="A10" s="709" t="s">
        <v>153</v>
      </c>
      <c r="B10" s="708">
        <v>146539.20000000001</v>
      </c>
    </row>
    <row r="11" spans="1:5">
      <c r="A11" s="709" t="s">
        <v>154</v>
      </c>
      <c r="B11" s="708">
        <v>139916.29999999999</v>
      </c>
    </row>
    <row r="12" spans="1:5">
      <c r="A12" s="709" t="s">
        <v>155</v>
      </c>
      <c r="B12" s="708">
        <v>126811.57</v>
      </c>
    </row>
    <row r="13" spans="1:5">
      <c r="A13" s="709" t="s">
        <v>156</v>
      </c>
      <c r="B13" s="708">
        <v>99522.880000000005</v>
      </c>
    </row>
    <row r="14" spans="1:5">
      <c r="A14" s="709" t="s">
        <v>157</v>
      </c>
      <c r="B14" s="708">
        <v>97086.88</v>
      </c>
    </row>
    <row r="15" spans="1:5">
      <c r="A15" s="709" t="s">
        <v>158</v>
      </c>
      <c r="B15" s="708">
        <v>90862.47</v>
      </c>
    </row>
    <row r="16" spans="1:5">
      <c r="A16" s="709" t="s">
        <v>159</v>
      </c>
      <c r="B16" s="708">
        <v>90647.67</v>
      </c>
    </row>
    <row r="17" spans="1:2">
      <c r="A17" s="709" t="s">
        <v>160</v>
      </c>
      <c r="B17" s="708">
        <v>89498.11</v>
      </c>
    </row>
    <row r="18" spans="1:2">
      <c r="A18" s="709" t="s">
        <v>161</v>
      </c>
      <c r="B18" s="708">
        <v>81304.5</v>
      </c>
    </row>
    <row r="19" spans="1:2">
      <c r="A19" s="709" t="s">
        <v>162</v>
      </c>
      <c r="B19" s="708">
        <v>79762.23</v>
      </c>
    </row>
    <row r="20" spans="1:2">
      <c r="A20" s="709" t="s">
        <v>163</v>
      </c>
      <c r="B20" s="708">
        <v>73777.210000000006</v>
      </c>
    </row>
    <row r="21" spans="1:2">
      <c r="A21" s="709" t="s">
        <v>164</v>
      </c>
      <c r="B21" s="708">
        <v>73027.62</v>
      </c>
    </row>
    <row r="22" spans="1:2">
      <c r="A22" s="709" t="s">
        <v>165</v>
      </c>
      <c r="B22" s="708">
        <v>71939.210000000006</v>
      </c>
    </row>
    <row r="23" spans="1:2">
      <c r="A23" s="709" t="s">
        <v>166</v>
      </c>
      <c r="B23" s="708">
        <v>69761.850000000006</v>
      </c>
    </row>
    <row r="24" spans="1:2">
      <c r="A24" s="709" t="s">
        <v>167</v>
      </c>
      <c r="B24" s="708">
        <v>66792.28</v>
      </c>
    </row>
    <row r="25" spans="1:2">
      <c r="A25" s="709" t="s">
        <v>168</v>
      </c>
      <c r="B25" s="708">
        <v>63598.46</v>
      </c>
    </row>
    <row r="26" spans="1:2">
      <c r="A26" s="709" t="s">
        <v>169</v>
      </c>
      <c r="B26" s="708">
        <v>62327.88</v>
      </c>
    </row>
    <row r="27" spans="1:2">
      <c r="A27" s="709" t="s">
        <v>170</v>
      </c>
      <c r="B27" s="708">
        <v>61786.2</v>
      </c>
    </row>
    <row r="28" spans="1:2">
      <c r="A28" s="709" t="s">
        <v>171</v>
      </c>
      <c r="B28" s="708">
        <v>58709.32</v>
      </c>
    </row>
    <row r="29" spans="1:2">
      <c r="A29" s="709" t="s">
        <v>172</v>
      </c>
      <c r="B29" s="708">
        <v>58670.99</v>
      </c>
    </row>
    <row r="30" spans="1:2">
      <c r="A30" s="709" t="s">
        <v>173</v>
      </c>
      <c r="B30" s="708">
        <v>58471.37</v>
      </c>
    </row>
    <row r="31" spans="1:2">
      <c r="A31" s="709" t="s">
        <v>174</v>
      </c>
      <c r="B31" s="708">
        <v>55976.46</v>
      </c>
    </row>
    <row r="32" spans="1:2">
      <c r="A32" s="709" t="s">
        <v>175</v>
      </c>
      <c r="B32" s="708">
        <v>54876.61</v>
      </c>
    </row>
    <row r="33" spans="1:2">
      <c r="A33" s="709" t="s">
        <v>176</v>
      </c>
      <c r="B33" s="708">
        <v>50269.01</v>
      </c>
    </row>
    <row r="34" spans="1:2">
      <c r="A34" s="709" t="s">
        <v>177</v>
      </c>
      <c r="B34" s="708">
        <v>50202.51</v>
      </c>
    </row>
    <row r="35" spans="1:2">
      <c r="A35" s="709" t="s">
        <v>178</v>
      </c>
      <c r="B35" s="708">
        <v>49329.27</v>
      </c>
    </row>
    <row r="36" spans="1:2">
      <c r="A36" s="709" t="s">
        <v>179</v>
      </c>
      <c r="B36" s="708">
        <v>49310.68</v>
      </c>
    </row>
    <row r="37" spans="1:2">
      <c r="A37" s="709" t="s">
        <v>180</v>
      </c>
      <c r="B37" s="708">
        <v>48680.07</v>
      </c>
    </row>
    <row r="38" spans="1:2">
      <c r="A38" s="709" t="s">
        <v>181</v>
      </c>
      <c r="B38" s="708">
        <v>47636.639999999999</v>
      </c>
    </row>
    <row r="39" spans="1:2">
      <c r="A39" s="709" t="s">
        <v>182</v>
      </c>
      <c r="B39" s="708">
        <v>47396.4</v>
      </c>
    </row>
    <row r="40" spans="1:2">
      <c r="A40" s="709" t="s">
        <v>183</v>
      </c>
      <c r="B40" s="708">
        <v>47120.84</v>
      </c>
    </row>
    <row r="41" spans="1:2">
      <c r="A41" s="709" t="s">
        <v>184</v>
      </c>
      <c r="B41" s="708">
        <v>46644.17</v>
      </c>
    </row>
    <row r="42" spans="1:2">
      <c r="A42" s="709" t="s">
        <v>185</v>
      </c>
      <c r="B42" s="708">
        <v>46240.36</v>
      </c>
    </row>
    <row r="43" spans="1:2">
      <c r="A43" s="709" t="s">
        <v>186</v>
      </c>
      <c r="B43" s="708">
        <v>45741.89</v>
      </c>
    </row>
    <row r="44" spans="1:2">
      <c r="A44" s="709" t="s">
        <v>187</v>
      </c>
      <c r="B44" s="708">
        <v>45221.1</v>
      </c>
    </row>
    <row r="45" spans="1:2">
      <c r="A45" s="709" t="s">
        <v>188</v>
      </c>
      <c r="B45" s="708">
        <v>44262.400000000001</v>
      </c>
    </row>
    <row r="46" spans="1:2">
      <c r="A46" s="709" t="s">
        <v>189</v>
      </c>
      <c r="B46" s="708">
        <v>42613.87</v>
      </c>
    </row>
    <row r="47" spans="1:2">
      <c r="A47" s="709" t="s">
        <v>190</v>
      </c>
      <c r="B47" s="708">
        <v>42202.42</v>
      </c>
    </row>
    <row r="48" spans="1:2">
      <c r="A48" s="709" t="s">
        <v>191</v>
      </c>
      <c r="B48" s="708">
        <v>41028.21</v>
      </c>
    </row>
    <row r="49" spans="1:2">
      <c r="A49" s="709" t="s">
        <v>192</v>
      </c>
      <c r="B49" s="708">
        <v>40813.300000000003</v>
      </c>
    </row>
    <row r="50" spans="1:2">
      <c r="A50" s="709" t="s">
        <v>193</v>
      </c>
      <c r="B50" s="708">
        <v>40500.69</v>
      </c>
    </row>
    <row r="51" spans="1:2">
      <c r="A51" s="709" t="s">
        <v>194</v>
      </c>
      <c r="B51" s="708">
        <v>40182.29</v>
      </c>
    </row>
    <row r="52" spans="1:2">
      <c r="A52" s="709" t="s">
        <v>195</v>
      </c>
      <c r="B52" s="708">
        <v>39468.49</v>
      </c>
    </row>
    <row r="53" spans="1:2">
      <c r="A53" s="709" t="s">
        <v>196</v>
      </c>
      <c r="B53" s="708">
        <v>39176.050000000003</v>
      </c>
    </row>
    <row r="54" spans="1:2">
      <c r="A54" s="709" t="s">
        <v>197</v>
      </c>
      <c r="B54" s="708">
        <v>38729.32</v>
      </c>
    </row>
    <row r="55" spans="1:2">
      <c r="A55" s="709" t="s">
        <v>198</v>
      </c>
      <c r="B55" s="708">
        <v>38409.019999999997</v>
      </c>
    </row>
    <row r="56" spans="1:2">
      <c r="A56" s="709" t="s">
        <v>199</v>
      </c>
      <c r="B56" s="708">
        <v>37281.03</v>
      </c>
    </row>
    <row r="57" spans="1:2">
      <c r="A57" s="709" t="s">
        <v>200</v>
      </c>
      <c r="B57" s="708">
        <v>37268.65</v>
      </c>
    </row>
    <row r="58" spans="1:2">
      <c r="A58" s="709" t="s">
        <v>201</v>
      </c>
      <c r="B58" s="708">
        <v>36974.99</v>
      </c>
    </row>
    <row r="59" spans="1:2">
      <c r="A59" s="709" t="s">
        <v>202</v>
      </c>
      <c r="B59" s="708">
        <v>36864.54</v>
      </c>
    </row>
    <row r="60" spans="1:2">
      <c r="A60" s="709" t="s">
        <v>203</v>
      </c>
      <c r="B60" s="708">
        <v>36819.589999999997</v>
      </c>
    </row>
    <row r="61" spans="1:2">
      <c r="A61" s="709" t="s">
        <v>204</v>
      </c>
      <c r="B61" s="708">
        <v>36658.879999999997</v>
      </c>
    </row>
    <row r="62" spans="1:2">
      <c r="A62" s="709" t="s">
        <v>205</v>
      </c>
      <c r="B62" s="708">
        <v>35621.89</v>
      </c>
    </row>
    <row r="63" spans="1:2">
      <c r="A63" s="709" t="s">
        <v>206</v>
      </c>
      <c r="B63" s="708">
        <v>33977.97</v>
      </c>
    </row>
    <row r="64" spans="1:2">
      <c r="A64" s="709" t="s">
        <v>207</v>
      </c>
      <c r="B64" s="708">
        <v>33926</v>
      </c>
    </row>
    <row r="65" spans="1:2">
      <c r="A65" s="709" t="s">
        <v>208</v>
      </c>
      <c r="B65" s="708">
        <v>31829.71</v>
      </c>
    </row>
    <row r="66" spans="1:2">
      <c r="A66" s="709" t="s">
        <v>209</v>
      </c>
      <c r="B66" s="708">
        <v>31824.73</v>
      </c>
    </row>
    <row r="67" spans="1:2">
      <c r="A67" s="709" t="s">
        <v>210</v>
      </c>
      <c r="B67" s="708">
        <v>31514.13</v>
      </c>
    </row>
    <row r="68" spans="1:2">
      <c r="A68" s="709" t="s">
        <v>211</v>
      </c>
      <c r="B68" s="708">
        <v>31446.5</v>
      </c>
    </row>
    <row r="69" spans="1:2">
      <c r="A69" s="709" t="s">
        <v>212</v>
      </c>
      <c r="B69" s="708">
        <v>31038.3</v>
      </c>
    </row>
    <row r="70" spans="1:2">
      <c r="A70" s="709" t="s">
        <v>213</v>
      </c>
      <c r="B70" s="708">
        <v>30069.17</v>
      </c>
    </row>
    <row r="71" spans="1:2">
      <c r="A71" s="709" t="s">
        <v>214</v>
      </c>
      <c r="B71" s="708">
        <v>29478.19</v>
      </c>
    </row>
    <row r="72" spans="1:2">
      <c r="A72" s="709" t="s">
        <v>215</v>
      </c>
      <c r="B72" s="708">
        <v>29131.08</v>
      </c>
    </row>
    <row r="73" spans="1:2">
      <c r="A73" s="709" t="s">
        <v>216</v>
      </c>
      <c r="B73" s="708">
        <v>28826.99</v>
      </c>
    </row>
    <row r="74" spans="1:2">
      <c r="A74" s="709" t="s">
        <v>217</v>
      </c>
      <c r="B74" s="708">
        <v>28709.47</v>
      </c>
    </row>
    <row r="75" spans="1:2">
      <c r="A75" s="709" t="s">
        <v>218</v>
      </c>
      <c r="B75" s="708">
        <v>27775.22</v>
      </c>
    </row>
    <row r="76" spans="1:2">
      <c r="A76" s="709" t="s">
        <v>219</v>
      </c>
      <c r="B76" s="708">
        <v>27744.93</v>
      </c>
    </row>
    <row r="77" spans="1:2">
      <c r="A77" s="709" t="s">
        <v>220</v>
      </c>
      <c r="B77" s="708">
        <v>27356.19</v>
      </c>
    </row>
    <row r="78" spans="1:2">
      <c r="A78" s="709" t="s">
        <v>221</v>
      </c>
      <c r="B78" s="708">
        <v>27123.19</v>
      </c>
    </row>
    <row r="79" spans="1:2">
      <c r="A79" s="709" t="s">
        <v>222</v>
      </c>
      <c r="B79" s="708">
        <v>25706.42</v>
      </c>
    </row>
    <row r="80" spans="1:2">
      <c r="A80" s="709" t="s">
        <v>223</v>
      </c>
      <c r="B80" s="708">
        <v>25703.58</v>
      </c>
    </row>
    <row r="81" spans="1:2">
      <c r="A81" s="709" t="s">
        <v>224</v>
      </c>
      <c r="B81" s="708">
        <v>25529.97</v>
      </c>
    </row>
    <row r="82" spans="1:2">
      <c r="A82" s="709" t="s">
        <v>225</v>
      </c>
      <c r="B82" s="708">
        <v>25327.52</v>
      </c>
    </row>
    <row r="83" spans="1:2">
      <c r="A83" s="709" t="s">
        <v>226</v>
      </c>
      <c r="B83" s="708">
        <v>25119.97</v>
      </c>
    </row>
    <row r="84" spans="1:2">
      <c r="A84" s="709" t="s">
        <v>227</v>
      </c>
      <c r="B84" s="708">
        <v>24566.04</v>
      </c>
    </row>
    <row r="85" spans="1:2">
      <c r="A85" s="709" t="s">
        <v>228</v>
      </c>
      <c r="B85" s="708">
        <v>24478.84</v>
      </c>
    </row>
    <row r="86" spans="1:2">
      <c r="A86" s="709" t="s">
        <v>229</v>
      </c>
      <c r="B86" s="708">
        <v>23997.33</v>
      </c>
    </row>
    <row r="87" spans="1:2">
      <c r="A87" s="709" t="s">
        <v>230</v>
      </c>
      <c r="B87" s="708">
        <v>23818.93</v>
      </c>
    </row>
    <row r="88" spans="1:2">
      <c r="A88" s="709" t="s">
        <v>231</v>
      </c>
      <c r="B88" s="708">
        <v>23684.53</v>
      </c>
    </row>
    <row r="89" spans="1:2">
      <c r="A89" s="709" t="s">
        <v>232</v>
      </c>
      <c r="B89" s="708">
        <v>23600.38</v>
      </c>
    </row>
    <row r="90" spans="1:2">
      <c r="A90" s="709" t="s">
        <v>233</v>
      </c>
      <c r="B90" s="708">
        <v>23502.799999999999</v>
      </c>
    </row>
    <row r="91" spans="1:2">
      <c r="A91" s="709" t="s">
        <v>234</v>
      </c>
      <c r="B91" s="708">
        <v>23325.53</v>
      </c>
    </row>
    <row r="92" spans="1:2">
      <c r="A92" s="709" t="s">
        <v>235</v>
      </c>
      <c r="B92" s="708">
        <v>23324.880000000001</v>
      </c>
    </row>
    <row r="93" spans="1:2">
      <c r="A93" s="709" t="s">
        <v>236</v>
      </c>
      <c r="B93" s="708">
        <v>23299.33</v>
      </c>
    </row>
    <row r="94" spans="1:2">
      <c r="A94" s="709" t="s">
        <v>237</v>
      </c>
      <c r="B94" s="708">
        <v>22757.45</v>
      </c>
    </row>
    <row r="95" spans="1:2">
      <c r="A95" s="709" t="s">
        <v>238</v>
      </c>
      <c r="B95" s="708">
        <v>22635.8</v>
      </c>
    </row>
    <row r="96" spans="1:2">
      <c r="A96" s="709" t="s">
        <v>239</v>
      </c>
      <c r="B96" s="708">
        <v>22547.3</v>
      </c>
    </row>
    <row r="97" spans="1:2">
      <c r="A97" s="709" t="s">
        <v>240</v>
      </c>
      <c r="B97" s="708">
        <v>22280.7</v>
      </c>
    </row>
    <row r="98" spans="1:2">
      <c r="A98" s="709" t="s">
        <v>241</v>
      </c>
      <c r="B98" s="708">
        <v>22189.87</v>
      </c>
    </row>
    <row r="99" spans="1:2">
      <c r="A99" s="709" t="s">
        <v>242</v>
      </c>
      <c r="B99" s="708">
        <v>22144.23</v>
      </c>
    </row>
    <row r="100" spans="1:2">
      <c r="A100" s="709" t="s">
        <v>243</v>
      </c>
      <c r="B100" s="708">
        <v>22143.27</v>
      </c>
    </row>
    <row r="101" spans="1:2">
      <c r="A101" s="709" t="s">
        <v>244</v>
      </c>
      <c r="B101" s="708">
        <v>22083.94</v>
      </c>
    </row>
    <row r="102" spans="1:2">
      <c r="A102" s="709" t="s">
        <v>245</v>
      </c>
      <c r="B102" s="708">
        <v>21972.62</v>
      </c>
    </row>
    <row r="103" spans="1:2">
      <c r="A103" s="709" t="s">
        <v>246</v>
      </c>
      <c r="B103" s="708">
        <v>21308.720000000001</v>
      </c>
    </row>
    <row r="104" spans="1:2">
      <c r="A104" s="709" t="s">
        <v>247</v>
      </c>
      <c r="B104" s="708">
        <v>19767.87</v>
      </c>
    </row>
    <row r="105" spans="1:2">
      <c r="A105" s="709" t="s">
        <v>248</v>
      </c>
      <c r="B105" s="708">
        <v>19624.64</v>
      </c>
    </row>
    <row r="106" spans="1:2">
      <c r="A106" s="709" t="s">
        <v>249</v>
      </c>
      <c r="B106" s="708">
        <v>19581.669999999998</v>
      </c>
    </row>
    <row r="107" spans="1:2">
      <c r="A107" s="709" t="s">
        <v>250</v>
      </c>
      <c r="B107" s="708">
        <v>19148.07</v>
      </c>
    </row>
    <row r="108" spans="1:2">
      <c r="A108" s="709" t="s">
        <v>251</v>
      </c>
      <c r="B108" s="708">
        <v>18635.439999999999</v>
      </c>
    </row>
    <row r="109" spans="1:2">
      <c r="A109" s="709" t="s">
        <v>252</v>
      </c>
      <c r="B109" s="708">
        <v>18369.740000000002</v>
      </c>
    </row>
    <row r="110" spans="1:2">
      <c r="A110" s="709" t="s">
        <v>253</v>
      </c>
      <c r="B110" s="708">
        <v>18183.37</v>
      </c>
    </row>
    <row r="111" spans="1:2">
      <c r="A111" s="709" t="s">
        <v>254</v>
      </c>
      <c r="B111" s="708">
        <v>18179.099999999999</v>
      </c>
    </row>
    <row r="112" spans="1:2">
      <c r="A112" s="709" t="s">
        <v>255</v>
      </c>
      <c r="B112" s="708">
        <v>18029.52</v>
      </c>
    </row>
    <row r="113" spans="1:2">
      <c r="A113" s="709" t="s">
        <v>256</v>
      </c>
      <c r="B113" s="708">
        <v>17921.88</v>
      </c>
    </row>
    <row r="114" spans="1:2">
      <c r="A114" s="709" t="s">
        <v>257</v>
      </c>
      <c r="B114" s="708">
        <v>17514.02</v>
      </c>
    </row>
    <row r="115" spans="1:2">
      <c r="A115" s="709" t="s">
        <v>258</v>
      </c>
      <c r="B115" s="708">
        <v>17486.84</v>
      </c>
    </row>
    <row r="116" spans="1:2">
      <c r="A116" s="709" t="s">
        <v>259</v>
      </c>
      <c r="B116" s="708">
        <v>16833.63</v>
      </c>
    </row>
    <row r="117" spans="1:2">
      <c r="A117" s="709" t="s">
        <v>260</v>
      </c>
      <c r="B117" s="708">
        <v>16780.82</v>
      </c>
    </row>
    <row r="118" spans="1:2">
      <c r="A118" s="709" t="s">
        <v>261</v>
      </c>
      <c r="B118" s="708">
        <v>16679.990000000002</v>
      </c>
    </row>
    <row r="119" spans="1:2">
      <c r="A119" s="709" t="s">
        <v>262</v>
      </c>
      <c r="B119" s="708">
        <v>16619.060000000001</v>
      </c>
    </row>
    <row r="120" spans="1:2">
      <c r="A120" s="709" t="s">
        <v>263</v>
      </c>
      <c r="B120" s="708">
        <v>16581.099999999999</v>
      </c>
    </row>
    <row r="121" spans="1:2">
      <c r="A121" s="709" t="s">
        <v>264</v>
      </c>
      <c r="B121" s="708">
        <v>16515.439999999999</v>
      </c>
    </row>
    <row r="122" spans="1:2">
      <c r="A122" s="709" t="s">
        <v>265</v>
      </c>
      <c r="B122" s="708">
        <v>16492.77</v>
      </c>
    </row>
    <row r="123" spans="1:2">
      <c r="A123" s="709" t="s">
        <v>266</v>
      </c>
      <c r="B123" s="708">
        <v>16422.72</v>
      </c>
    </row>
    <row r="124" spans="1:2">
      <c r="A124" s="709" t="s">
        <v>267</v>
      </c>
      <c r="B124" s="708">
        <v>16303.12</v>
      </c>
    </row>
    <row r="125" spans="1:2">
      <c r="A125" s="709" t="s">
        <v>268</v>
      </c>
      <c r="B125" s="708">
        <v>16186.27</v>
      </c>
    </row>
    <row r="126" spans="1:2">
      <c r="A126" s="709" t="s">
        <v>269</v>
      </c>
      <c r="B126" s="708">
        <v>16124.33</v>
      </c>
    </row>
    <row r="127" spans="1:2">
      <c r="A127" s="709" t="s">
        <v>270</v>
      </c>
      <c r="B127" s="708">
        <v>15167.14</v>
      </c>
    </row>
    <row r="128" spans="1:2">
      <c r="A128" s="709" t="s">
        <v>271</v>
      </c>
      <c r="B128" s="708">
        <v>14545.69</v>
      </c>
    </row>
    <row r="129" spans="1:2">
      <c r="A129" s="709" t="s">
        <v>272</v>
      </c>
      <c r="B129" s="708">
        <v>14506.94</v>
      </c>
    </row>
    <row r="130" spans="1:2">
      <c r="A130" s="709" t="s">
        <v>273</v>
      </c>
      <c r="B130" s="708">
        <v>14450.43</v>
      </c>
    </row>
    <row r="131" spans="1:2">
      <c r="A131" s="709" t="s">
        <v>274</v>
      </c>
      <c r="B131" s="708">
        <v>14345.96</v>
      </c>
    </row>
    <row r="132" spans="1:2">
      <c r="A132" s="709" t="s">
        <v>275</v>
      </c>
      <c r="B132" s="708">
        <v>14004.86</v>
      </c>
    </row>
    <row r="133" spans="1:2">
      <c r="A133" s="709" t="s">
        <v>276</v>
      </c>
      <c r="B133" s="708">
        <v>13990.92</v>
      </c>
    </row>
    <row r="134" spans="1:2">
      <c r="A134" s="709" t="s">
        <v>277</v>
      </c>
      <c r="B134" s="708">
        <v>13771.24</v>
      </c>
    </row>
    <row r="135" spans="1:2">
      <c r="A135" s="709" t="s">
        <v>278</v>
      </c>
      <c r="B135" s="708">
        <v>13638.42</v>
      </c>
    </row>
    <row r="136" spans="1:2">
      <c r="A136" s="709" t="s">
        <v>279</v>
      </c>
      <c r="B136" s="708">
        <v>13069.48</v>
      </c>
    </row>
    <row r="137" spans="1:2">
      <c r="A137" s="709" t="s">
        <v>280</v>
      </c>
      <c r="B137" s="708">
        <v>12986.32</v>
      </c>
    </row>
    <row r="138" spans="1:2">
      <c r="A138" s="709" t="s">
        <v>281</v>
      </c>
      <c r="B138" s="708">
        <v>12815.44</v>
      </c>
    </row>
    <row r="139" spans="1:2">
      <c r="A139" s="709" t="s">
        <v>282</v>
      </c>
      <c r="B139" s="708">
        <v>12709.82</v>
      </c>
    </row>
    <row r="140" spans="1:2">
      <c r="A140" s="709" t="s">
        <v>283</v>
      </c>
      <c r="B140" s="708">
        <v>12696.55</v>
      </c>
    </row>
    <row r="141" spans="1:2">
      <c r="A141" s="709" t="s">
        <v>284</v>
      </c>
      <c r="B141" s="708">
        <v>12460.57</v>
      </c>
    </row>
    <row r="142" spans="1:2">
      <c r="A142" s="709" t="s">
        <v>285</v>
      </c>
      <c r="B142" s="708">
        <v>12354.54</v>
      </c>
    </row>
    <row r="143" spans="1:2">
      <c r="A143" s="709" t="s">
        <v>286</v>
      </c>
      <c r="B143" s="708">
        <v>12324.47</v>
      </c>
    </row>
    <row r="144" spans="1:2">
      <c r="A144" s="709" t="s">
        <v>287</v>
      </c>
      <c r="B144" s="708">
        <v>12109.49</v>
      </c>
    </row>
    <row r="145" spans="1:2">
      <c r="A145" s="709" t="s">
        <v>288</v>
      </c>
      <c r="B145" s="708">
        <v>11998.93</v>
      </c>
    </row>
    <row r="146" spans="1:2">
      <c r="A146" s="709" t="s">
        <v>289</v>
      </c>
      <c r="B146" s="708">
        <v>11952.8</v>
      </c>
    </row>
    <row r="147" spans="1:2">
      <c r="A147" s="709" t="s">
        <v>290</v>
      </c>
      <c r="B147" s="708">
        <v>11818.47</v>
      </c>
    </row>
    <row r="148" spans="1:2">
      <c r="A148" s="709" t="s">
        <v>291</v>
      </c>
      <c r="B148" s="708">
        <v>11815.25</v>
      </c>
    </row>
    <row r="149" spans="1:2">
      <c r="A149" s="709" t="s">
        <v>292</v>
      </c>
      <c r="B149" s="708">
        <v>11785.87</v>
      </c>
    </row>
    <row r="150" spans="1:2">
      <c r="A150" s="709" t="s">
        <v>293</v>
      </c>
      <c r="B150" s="708">
        <v>11755.96</v>
      </c>
    </row>
    <row r="151" spans="1:2">
      <c r="A151" s="709" t="s">
        <v>294</v>
      </c>
      <c r="B151" s="708">
        <v>11739.64</v>
      </c>
    </row>
    <row r="152" spans="1:2">
      <c r="A152" s="709" t="s">
        <v>295</v>
      </c>
      <c r="B152" s="708">
        <v>11539.79</v>
      </c>
    </row>
    <row r="153" spans="1:2">
      <c r="A153" s="709" t="s">
        <v>296</v>
      </c>
      <c r="B153" s="708">
        <v>11511.7</v>
      </c>
    </row>
    <row r="154" spans="1:2">
      <c r="A154" s="709" t="s">
        <v>297</v>
      </c>
      <c r="B154" s="708">
        <v>11419</v>
      </c>
    </row>
    <row r="155" spans="1:2">
      <c r="A155" s="709" t="s">
        <v>298</v>
      </c>
      <c r="B155" s="708">
        <v>11408.01</v>
      </c>
    </row>
    <row r="156" spans="1:2">
      <c r="A156" s="709" t="s">
        <v>299</v>
      </c>
      <c r="B156" s="708">
        <v>11406.78</v>
      </c>
    </row>
    <row r="157" spans="1:2">
      <c r="A157" s="709" t="s">
        <v>300</v>
      </c>
      <c r="B157" s="708">
        <v>11399.04</v>
      </c>
    </row>
    <row r="158" spans="1:2">
      <c r="A158" s="709" t="s">
        <v>301</v>
      </c>
      <c r="B158" s="708">
        <v>11369.28</v>
      </c>
    </row>
    <row r="159" spans="1:2">
      <c r="A159" s="709" t="s">
        <v>302</v>
      </c>
      <c r="B159" s="708">
        <v>11325.38</v>
      </c>
    </row>
    <row r="160" spans="1:2">
      <c r="A160" s="709" t="s">
        <v>303</v>
      </c>
      <c r="B160" s="708">
        <v>11303.36</v>
      </c>
    </row>
    <row r="161" spans="1:2">
      <c r="A161" s="709" t="s">
        <v>304</v>
      </c>
      <c r="B161" s="708">
        <v>11295.49</v>
      </c>
    </row>
    <row r="162" spans="1:2">
      <c r="A162" s="709" t="s">
        <v>305</v>
      </c>
      <c r="B162" s="708">
        <v>11275.56</v>
      </c>
    </row>
    <row r="163" spans="1:2">
      <c r="A163" s="709" t="s">
        <v>306</v>
      </c>
      <c r="B163" s="708">
        <v>11212.48</v>
      </c>
    </row>
    <row r="164" spans="1:2">
      <c r="A164" s="709" t="s">
        <v>307</v>
      </c>
      <c r="B164" s="708">
        <v>11211.03</v>
      </c>
    </row>
    <row r="165" spans="1:2">
      <c r="A165" s="709" t="s">
        <v>308</v>
      </c>
      <c r="B165" s="708">
        <v>11187.45</v>
      </c>
    </row>
    <row r="166" spans="1:2">
      <c r="A166" s="709" t="s">
        <v>309</v>
      </c>
      <c r="B166" s="708">
        <v>11098.1</v>
      </c>
    </row>
    <row r="167" spans="1:2">
      <c r="A167" s="709" t="s">
        <v>310</v>
      </c>
      <c r="B167" s="708">
        <v>11062.03</v>
      </c>
    </row>
    <row r="168" spans="1:2">
      <c r="A168" s="709" t="s">
        <v>311</v>
      </c>
      <c r="B168" s="708">
        <v>11041.57</v>
      </c>
    </row>
    <row r="169" spans="1:2">
      <c r="A169" s="709" t="s">
        <v>312</v>
      </c>
      <c r="B169" s="708">
        <v>11011.3</v>
      </c>
    </row>
    <row r="170" spans="1:2">
      <c r="A170" s="709" t="s">
        <v>313</v>
      </c>
      <c r="B170" s="708">
        <v>11006.43</v>
      </c>
    </row>
    <row r="171" spans="1:2">
      <c r="A171" s="709" t="s">
        <v>314</v>
      </c>
      <c r="B171" s="708">
        <v>10983.88</v>
      </c>
    </row>
    <row r="172" spans="1:2">
      <c r="A172" s="709" t="s">
        <v>315</v>
      </c>
      <c r="B172" s="708">
        <v>10949.73</v>
      </c>
    </row>
    <row r="173" spans="1:2">
      <c r="A173" s="709" t="s">
        <v>316</v>
      </c>
      <c r="B173" s="708">
        <v>10901.69</v>
      </c>
    </row>
    <row r="174" spans="1:2">
      <c r="A174" s="709" t="s">
        <v>317</v>
      </c>
      <c r="B174" s="708">
        <v>10881.98</v>
      </c>
    </row>
    <row r="175" spans="1:2">
      <c r="A175" s="709" t="s">
        <v>318</v>
      </c>
      <c r="B175" s="708">
        <v>10825.28</v>
      </c>
    </row>
    <row r="176" spans="1:2">
      <c r="A176" s="709" t="s">
        <v>319</v>
      </c>
      <c r="B176" s="708">
        <v>10808.45</v>
      </c>
    </row>
    <row r="177" spans="1:2">
      <c r="A177" s="709" t="s">
        <v>320</v>
      </c>
      <c r="B177" s="708">
        <v>10792.54</v>
      </c>
    </row>
    <row r="178" spans="1:2">
      <c r="A178" s="709" t="s">
        <v>321</v>
      </c>
      <c r="B178" s="708">
        <v>10672.05</v>
      </c>
    </row>
    <row r="179" spans="1:2">
      <c r="A179" s="709" t="s">
        <v>322</v>
      </c>
      <c r="B179" s="708">
        <v>10670.82</v>
      </c>
    </row>
    <row r="180" spans="1:2">
      <c r="A180" s="709" t="s">
        <v>323</v>
      </c>
      <c r="B180" s="708">
        <v>10539.75</v>
      </c>
    </row>
    <row r="181" spans="1:2">
      <c r="A181" s="709" t="s">
        <v>324</v>
      </c>
      <c r="B181" s="708">
        <v>10527.71</v>
      </c>
    </row>
    <row r="182" spans="1:2">
      <c r="A182" s="709" t="s">
        <v>325</v>
      </c>
      <c r="B182" s="708">
        <v>10513.65</v>
      </c>
    </row>
    <row r="183" spans="1:2">
      <c r="A183" s="709" t="s">
        <v>326</v>
      </c>
      <c r="B183" s="708">
        <v>10497.17</v>
      </c>
    </row>
    <row r="184" spans="1:2">
      <c r="A184" s="709" t="s">
        <v>327</v>
      </c>
      <c r="B184" s="708">
        <v>10447.11</v>
      </c>
    </row>
    <row r="185" spans="1:2">
      <c r="A185" s="709" t="s">
        <v>328</v>
      </c>
      <c r="B185" s="708">
        <v>10446.120000000001</v>
      </c>
    </row>
    <row r="186" spans="1:2">
      <c r="A186" s="709" t="s">
        <v>329</v>
      </c>
      <c r="B186" s="708">
        <v>10424.129999999999</v>
      </c>
    </row>
    <row r="187" spans="1:2">
      <c r="A187" s="709" t="s">
        <v>330</v>
      </c>
      <c r="B187" s="708">
        <v>10415.59</v>
      </c>
    </row>
    <row r="188" spans="1:2">
      <c r="A188" s="709" t="s">
        <v>331</v>
      </c>
      <c r="B188" s="708">
        <v>10191.629999999999</v>
      </c>
    </row>
    <row r="189" spans="1:2">
      <c r="A189" s="709" t="s">
        <v>332</v>
      </c>
      <c r="B189" s="708">
        <v>10057.64</v>
      </c>
    </row>
    <row r="190" spans="1:2">
      <c r="A190" s="709" t="s">
        <v>333</v>
      </c>
      <c r="B190" s="708">
        <v>10035.1</v>
      </c>
    </row>
    <row r="191" spans="1:2">
      <c r="A191" s="709" t="s">
        <v>334</v>
      </c>
      <c r="B191" s="708">
        <v>10024.129999999999</v>
      </c>
    </row>
    <row r="192" spans="1:2">
      <c r="A192" s="709" t="s">
        <v>335</v>
      </c>
      <c r="B192" s="708">
        <v>10002.379999999999</v>
      </c>
    </row>
    <row r="193" spans="1:2">
      <c r="A193" s="709"/>
      <c r="B193" s="708">
        <v>0</v>
      </c>
    </row>
    <row r="194" spans="1:2">
      <c r="A194" s="709" t="s">
        <v>336</v>
      </c>
      <c r="B194" s="708">
        <v>8692613.7999999989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3423-40CF-432B-95D3-987D23607D5D}">
  <sheetPr>
    <tabColor theme="3" tint="-0.249977111117893"/>
  </sheetPr>
  <dimension ref="A1:Z207"/>
  <sheetViews>
    <sheetView showGridLines="0" topLeftCell="A4" workbookViewId="0">
      <selection sqref="A1:L1"/>
    </sheetView>
  </sheetViews>
  <sheetFormatPr defaultRowHeight="15" outlineLevelRow="1"/>
  <cols>
    <col min="1" max="1" width="20.77734375" customWidth="1"/>
    <col min="2" max="2" width="29.21875" customWidth="1"/>
    <col min="3" max="4" width="20.6640625" customWidth="1"/>
    <col min="5" max="5" width="31.5546875" customWidth="1"/>
    <col min="6" max="6" width="42.6640625" customWidth="1"/>
    <col min="7" max="7" width="50.109375" customWidth="1"/>
    <col min="8" max="8" width="30.109375" customWidth="1"/>
    <col min="9" max="9" width="31.88671875" customWidth="1"/>
    <col min="10" max="10" width="26.33203125" customWidth="1"/>
    <col min="11" max="13" width="60.77734375" style="308" customWidth="1"/>
    <col min="14" max="14" width="58.109375" customWidth="1"/>
    <col min="15" max="15" width="18.6640625" customWidth="1"/>
    <col min="16" max="16" width="22.109375" customWidth="1"/>
    <col min="17" max="17" width="22.6640625" customWidth="1"/>
    <col min="18" max="18" width="13.21875" customWidth="1"/>
    <col min="19" max="19" width="15.21875" customWidth="1"/>
    <col min="20" max="20" width="13.109375" customWidth="1"/>
    <col min="21" max="21" width="14.109375" customWidth="1"/>
    <col min="22" max="22" width="22.109375" customWidth="1"/>
    <col min="23" max="23" width="13.88671875" customWidth="1"/>
    <col min="24" max="24" width="7.5546875" customWidth="1"/>
    <col min="25" max="25" width="9.109375" customWidth="1"/>
    <col min="26" max="26" width="13.109375" customWidth="1"/>
  </cols>
  <sheetData>
    <row r="1" spans="1:26">
      <c r="A1" s="689" t="s">
        <v>337</v>
      </c>
    </row>
    <row r="2" spans="1:26" outlineLevel="1"/>
    <row r="3" spans="1:26" outlineLevel="1">
      <c r="A3" s="690" t="s">
        <v>338</v>
      </c>
      <c r="B3" s="691" t="s">
        <v>339</v>
      </c>
    </row>
    <row r="4" spans="1:26" outlineLevel="1">
      <c r="A4" s="690" t="s">
        <v>340</v>
      </c>
      <c r="B4" s="691" t="s">
        <v>341</v>
      </c>
    </row>
    <row r="5" spans="1:26" outlineLevel="1"/>
    <row r="6" spans="1:26" ht="12.75" customHeight="1" outlineLevel="1">
      <c r="A6" s="690" t="s">
        <v>342</v>
      </c>
      <c r="B6" s="1149" t="s">
        <v>343</v>
      </c>
      <c r="C6" s="1150"/>
      <c r="D6" s="1150"/>
      <c r="E6" s="1150"/>
      <c r="F6" s="1150"/>
      <c r="G6" s="1150"/>
      <c r="H6" s="1150"/>
      <c r="I6" s="1150"/>
      <c r="J6" s="1150"/>
      <c r="K6" s="1151"/>
      <c r="L6" s="1151"/>
      <c r="M6" s="1151"/>
      <c r="N6" s="1150"/>
      <c r="O6" s="1150"/>
      <c r="P6" s="1150"/>
      <c r="Q6" s="1150"/>
      <c r="R6" s="1150"/>
      <c r="S6" s="1150"/>
      <c r="T6" s="1150"/>
      <c r="U6" s="1150"/>
      <c r="V6" s="1150"/>
      <c r="W6" s="1150"/>
      <c r="X6" s="1150"/>
      <c r="Y6" s="1150"/>
      <c r="Z6" s="1150"/>
    </row>
    <row r="7" spans="1:26" ht="12.75" customHeight="1" outlineLevel="1">
      <c r="A7" s="690" t="s">
        <v>344</v>
      </c>
      <c r="B7" s="1149" t="s">
        <v>345</v>
      </c>
      <c r="C7" s="1150"/>
      <c r="D7" s="1150"/>
      <c r="E7" s="1150"/>
      <c r="F7" s="1150"/>
      <c r="G7" s="1150"/>
      <c r="H7" s="1150"/>
      <c r="I7" s="1150"/>
      <c r="J7" s="1150"/>
      <c r="K7" s="1151"/>
      <c r="L7" s="1151"/>
      <c r="M7" s="1151"/>
      <c r="N7" s="1150"/>
      <c r="O7" s="1150"/>
      <c r="P7" s="1150"/>
      <c r="Q7" s="1150"/>
      <c r="R7" s="1150"/>
      <c r="S7" s="1150"/>
      <c r="T7" s="1150"/>
      <c r="U7" s="1150"/>
      <c r="V7" s="1150"/>
      <c r="W7" s="1150"/>
      <c r="X7" s="1150"/>
      <c r="Y7" s="1150"/>
      <c r="Z7" s="1150"/>
    </row>
    <row r="8" spans="1:26" outlineLevel="1"/>
    <row r="9" spans="1:26" ht="12.75" customHeight="1" outlineLevel="1">
      <c r="A9" s="690" t="s">
        <v>346</v>
      </c>
      <c r="B9" s="1149" t="s">
        <v>347</v>
      </c>
      <c r="C9" s="1150"/>
      <c r="D9" s="1150"/>
      <c r="E9" s="1150"/>
      <c r="F9" s="1150"/>
      <c r="G9" s="1150"/>
      <c r="H9" s="1150"/>
      <c r="I9" s="1150"/>
      <c r="J9" s="1150"/>
      <c r="K9" s="1151"/>
      <c r="L9" s="1151"/>
      <c r="M9" s="1151"/>
      <c r="N9" s="1150"/>
      <c r="O9" s="1150"/>
      <c r="P9" s="1150"/>
      <c r="Q9" s="1150"/>
      <c r="R9" s="1150"/>
      <c r="S9" s="1150"/>
      <c r="T9" s="1150"/>
      <c r="U9" s="1150"/>
      <c r="V9" s="1150"/>
      <c r="W9" s="1150"/>
      <c r="X9" s="1150"/>
      <c r="Y9" s="1150"/>
      <c r="Z9" s="1150"/>
    </row>
    <row r="11" spans="1:26">
      <c r="A11" s="692" t="s">
        <v>348</v>
      </c>
      <c r="B11" s="692" t="s">
        <v>349</v>
      </c>
      <c r="C11" s="692" t="s">
        <v>350</v>
      </c>
      <c r="D11" s="692" t="s">
        <v>351</v>
      </c>
      <c r="E11" s="692" t="s">
        <v>352</v>
      </c>
      <c r="F11" s="692" t="s">
        <v>353</v>
      </c>
      <c r="G11" s="692" t="s">
        <v>354</v>
      </c>
      <c r="H11" s="692" t="s">
        <v>355</v>
      </c>
      <c r="I11" s="692" t="s">
        <v>356</v>
      </c>
      <c r="J11" s="692" t="s">
        <v>357</v>
      </c>
      <c r="K11" s="693" t="s">
        <v>358</v>
      </c>
      <c r="L11" s="693" t="s">
        <v>359</v>
      </c>
      <c r="M11" s="693" t="s">
        <v>360</v>
      </c>
      <c r="N11" s="692" t="s">
        <v>361</v>
      </c>
      <c r="O11" s="692" t="s">
        <v>362</v>
      </c>
      <c r="P11" s="692" t="s">
        <v>363</v>
      </c>
      <c r="Q11" s="692" t="s">
        <v>364</v>
      </c>
      <c r="R11" s="692" t="s">
        <v>365</v>
      </c>
      <c r="S11" s="692" t="s">
        <v>366</v>
      </c>
      <c r="T11" s="692" t="s">
        <v>367</v>
      </c>
      <c r="U11" s="692" t="s">
        <v>368</v>
      </c>
      <c r="V11" s="692" t="s">
        <v>369</v>
      </c>
      <c r="W11" s="692" t="s">
        <v>370</v>
      </c>
      <c r="X11" s="692" t="s">
        <v>371</v>
      </c>
      <c r="Y11" s="692" t="s">
        <v>372</v>
      </c>
      <c r="Z11" s="692" t="s">
        <v>373</v>
      </c>
    </row>
    <row r="12" spans="1:26">
      <c r="A12" s="694" t="s">
        <v>374</v>
      </c>
      <c r="B12" s="694" t="s">
        <v>147</v>
      </c>
      <c r="C12" s="694" t="s">
        <v>375</v>
      </c>
      <c r="D12" s="694" t="s">
        <v>376</v>
      </c>
      <c r="E12" s="694" t="s">
        <v>377</v>
      </c>
      <c r="F12" s="694" t="s">
        <v>378</v>
      </c>
      <c r="G12" s="694" t="s">
        <v>379</v>
      </c>
      <c r="H12" s="694" t="s">
        <v>380</v>
      </c>
      <c r="I12" s="694" t="s">
        <v>381</v>
      </c>
      <c r="J12" s="694" t="s">
        <v>382</v>
      </c>
      <c r="K12" s="695" t="s">
        <v>383</v>
      </c>
      <c r="L12" s="695" t="s">
        <v>384</v>
      </c>
      <c r="M12" s="695" t="s">
        <v>385</v>
      </c>
      <c r="N12" s="694" t="s">
        <v>386</v>
      </c>
      <c r="O12" s="694" t="s">
        <v>387</v>
      </c>
      <c r="P12" s="696">
        <v>138.26</v>
      </c>
      <c r="Q12" s="694" t="s">
        <v>388</v>
      </c>
      <c r="R12" s="697">
        <v>478541.35</v>
      </c>
      <c r="S12" s="697">
        <v>1711955.59</v>
      </c>
      <c r="T12" s="697">
        <v>2190496.94</v>
      </c>
      <c r="U12" s="697">
        <v>5735877.3300000001</v>
      </c>
      <c r="V12" s="697">
        <v>5436151.4400000004</v>
      </c>
      <c r="W12" s="697">
        <v>2208428.98</v>
      </c>
      <c r="X12" s="698">
        <v>6</v>
      </c>
      <c r="Y12" s="698">
        <v>237</v>
      </c>
      <c r="Z12" s="698">
        <v>100</v>
      </c>
    </row>
    <row r="13" spans="1:26">
      <c r="A13" s="699" t="s">
        <v>389</v>
      </c>
      <c r="B13" s="699" t="s">
        <v>148</v>
      </c>
      <c r="C13" s="699" t="s">
        <v>390</v>
      </c>
      <c r="D13" s="699" t="s">
        <v>391</v>
      </c>
      <c r="E13" s="699" t="s">
        <v>377</v>
      </c>
      <c r="F13" s="699" t="s">
        <v>378</v>
      </c>
      <c r="G13" s="699" t="s">
        <v>392</v>
      </c>
      <c r="H13" s="699" t="s">
        <v>393</v>
      </c>
      <c r="I13" s="699" t="s">
        <v>381</v>
      </c>
      <c r="J13" s="699" t="s">
        <v>382</v>
      </c>
      <c r="K13" s="700" t="s">
        <v>394</v>
      </c>
      <c r="L13" s="700" t="s">
        <v>395</v>
      </c>
      <c r="M13" s="700" t="s">
        <v>396</v>
      </c>
      <c r="N13" s="699" t="s">
        <v>397</v>
      </c>
      <c r="O13" s="699" t="s">
        <v>387</v>
      </c>
      <c r="P13" s="701">
        <v>39.86</v>
      </c>
      <c r="Q13" s="699" t="s">
        <v>388</v>
      </c>
      <c r="R13" s="702">
        <v>58772.87</v>
      </c>
      <c r="S13" s="702">
        <v>381956.54</v>
      </c>
      <c r="T13" s="702">
        <v>440729.41</v>
      </c>
      <c r="U13" s="702">
        <v>559400.99</v>
      </c>
      <c r="V13" s="702">
        <v>559058.99</v>
      </c>
      <c r="W13" s="702">
        <v>469816.66</v>
      </c>
      <c r="X13" s="703">
        <v>0</v>
      </c>
      <c r="Y13" s="703">
        <v>39</v>
      </c>
      <c r="Z13" s="703">
        <v>37</v>
      </c>
    </row>
    <row r="14" spans="1:26">
      <c r="A14" s="694" t="s">
        <v>398</v>
      </c>
      <c r="B14" s="694" t="s">
        <v>150</v>
      </c>
      <c r="C14" s="694" t="s">
        <v>399</v>
      </c>
      <c r="D14" s="694" t="s">
        <v>391</v>
      </c>
      <c r="E14" s="694" t="s">
        <v>377</v>
      </c>
      <c r="F14" s="694" t="s">
        <v>378</v>
      </c>
      <c r="G14" s="694" t="s">
        <v>379</v>
      </c>
      <c r="H14" s="694" t="s">
        <v>380</v>
      </c>
      <c r="I14" s="694" t="s">
        <v>400</v>
      </c>
      <c r="J14" s="694" t="s">
        <v>401</v>
      </c>
      <c r="K14" s="695" t="s">
        <v>402</v>
      </c>
      <c r="L14" s="695" t="s">
        <v>403</v>
      </c>
      <c r="M14" s="695" t="s">
        <v>404</v>
      </c>
      <c r="N14" s="694"/>
      <c r="O14" s="694" t="s">
        <v>405</v>
      </c>
      <c r="P14" s="696"/>
      <c r="Q14" s="694" t="s">
        <v>46</v>
      </c>
      <c r="R14" s="697">
        <v>163102.81</v>
      </c>
      <c r="S14" s="697"/>
      <c r="T14" s="697">
        <v>163102.81</v>
      </c>
      <c r="U14" s="697">
        <v>193496.12</v>
      </c>
      <c r="V14" s="697">
        <v>193496.12</v>
      </c>
      <c r="W14" s="697">
        <v>165253.56</v>
      </c>
      <c r="X14" s="698">
        <v>1</v>
      </c>
      <c r="Y14" s="698">
        <v>28</v>
      </c>
      <c r="Z14" s="698">
        <v>0</v>
      </c>
    </row>
    <row r="15" spans="1:26">
      <c r="A15" s="699" t="s">
        <v>406</v>
      </c>
      <c r="B15" s="699" t="s">
        <v>151</v>
      </c>
      <c r="C15" s="699" t="s">
        <v>407</v>
      </c>
      <c r="D15" s="699" t="s">
        <v>376</v>
      </c>
      <c r="E15" s="699" t="s">
        <v>377</v>
      </c>
      <c r="F15" s="699" t="s">
        <v>378</v>
      </c>
      <c r="G15" s="699" t="s">
        <v>379</v>
      </c>
      <c r="H15" s="699" t="s">
        <v>380</v>
      </c>
      <c r="I15" s="699" t="s">
        <v>400</v>
      </c>
      <c r="J15" s="699" t="s">
        <v>382</v>
      </c>
      <c r="K15" s="700" t="s">
        <v>408</v>
      </c>
      <c r="L15" s="700" t="s">
        <v>409</v>
      </c>
      <c r="M15" s="700" t="s">
        <v>410</v>
      </c>
      <c r="N15" s="699" t="s">
        <v>411</v>
      </c>
      <c r="O15" s="699" t="s">
        <v>387</v>
      </c>
      <c r="P15" s="701">
        <v>7.47</v>
      </c>
      <c r="Q15" s="699" t="s">
        <v>412</v>
      </c>
      <c r="R15" s="702">
        <v>10031.879999999999</v>
      </c>
      <c r="S15" s="702">
        <v>146582.70000000001</v>
      </c>
      <c r="T15" s="702">
        <v>156614.57999999999</v>
      </c>
      <c r="U15" s="702">
        <v>216169.35</v>
      </c>
      <c r="V15" s="702">
        <v>216169.35</v>
      </c>
      <c r="W15" s="702">
        <v>167700.28</v>
      </c>
      <c r="X15" s="703">
        <v>0</v>
      </c>
      <c r="Y15" s="703">
        <v>136</v>
      </c>
      <c r="Z15" s="703">
        <v>11</v>
      </c>
    </row>
    <row r="16" spans="1:26" ht="25.5">
      <c r="A16" s="694" t="s">
        <v>413</v>
      </c>
      <c r="B16" s="694" t="s">
        <v>152</v>
      </c>
      <c r="C16" s="694" t="s">
        <v>414</v>
      </c>
      <c r="D16" s="694" t="s">
        <v>391</v>
      </c>
      <c r="E16" s="694" t="s">
        <v>377</v>
      </c>
      <c r="F16" s="694" t="s">
        <v>378</v>
      </c>
      <c r="G16" s="694" t="s">
        <v>379</v>
      </c>
      <c r="H16" s="694" t="s">
        <v>380</v>
      </c>
      <c r="I16" s="694" t="s">
        <v>381</v>
      </c>
      <c r="J16" s="694" t="s">
        <v>382</v>
      </c>
      <c r="K16" s="695" t="s">
        <v>415</v>
      </c>
      <c r="L16" s="695" t="s">
        <v>416</v>
      </c>
      <c r="M16" s="695" t="s">
        <v>417</v>
      </c>
      <c r="N16" s="694" t="s">
        <v>418</v>
      </c>
      <c r="O16" s="694" t="s">
        <v>387</v>
      </c>
      <c r="P16" s="696">
        <v>8.52</v>
      </c>
      <c r="Q16" s="694" t="s">
        <v>412</v>
      </c>
      <c r="R16" s="697">
        <v>38140.89</v>
      </c>
      <c r="S16" s="697">
        <v>108544.81</v>
      </c>
      <c r="T16" s="697">
        <v>146685.70000000001</v>
      </c>
      <c r="U16" s="697">
        <v>253479.31</v>
      </c>
      <c r="V16" s="697">
        <v>253479.31</v>
      </c>
      <c r="W16" s="697">
        <v>149320.09</v>
      </c>
      <c r="X16" s="698">
        <v>0</v>
      </c>
      <c r="Y16" s="698">
        <v>236</v>
      </c>
      <c r="Z16" s="698">
        <v>57</v>
      </c>
    </row>
    <row r="17" spans="1:26">
      <c r="A17" s="699" t="s">
        <v>419</v>
      </c>
      <c r="B17" s="699" t="s">
        <v>153</v>
      </c>
      <c r="C17" s="699" t="s">
        <v>420</v>
      </c>
      <c r="D17" s="699" t="s">
        <v>376</v>
      </c>
      <c r="E17" s="699" t="s">
        <v>377</v>
      </c>
      <c r="F17" s="699" t="s">
        <v>378</v>
      </c>
      <c r="G17" s="699" t="s">
        <v>379</v>
      </c>
      <c r="H17" s="699" t="s">
        <v>380</v>
      </c>
      <c r="I17" s="699" t="s">
        <v>381</v>
      </c>
      <c r="J17" s="699" t="s">
        <v>401</v>
      </c>
      <c r="K17" s="700" t="s">
        <v>421</v>
      </c>
      <c r="L17" s="700" t="s">
        <v>422</v>
      </c>
      <c r="M17" s="700" t="s">
        <v>423</v>
      </c>
      <c r="N17" s="699" t="s">
        <v>424</v>
      </c>
      <c r="O17" s="699" t="s">
        <v>425</v>
      </c>
      <c r="P17" s="701"/>
      <c r="Q17" s="699" t="s">
        <v>46</v>
      </c>
      <c r="R17" s="702">
        <v>32265.02</v>
      </c>
      <c r="S17" s="702">
        <v>114274.18</v>
      </c>
      <c r="T17" s="702">
        <v>146539.20000000001</v>
      </c>
      <c r="U17" s="702">
        <v>253550.88</v>
      </c>
      <c r="V17" s="702">
        <v>248454.08</v>
      </c>
      <c r="W17" s="702">
        <v>147090.46</v>
      </c>
      <c r="X17" s="703">
        <v>0</v>
      </c>
      <c r="Y17" s="703">
        <v>120</v>
      </c>
      <c r="Z17" s="703">
        <v>25</v>
      </c>
    </row>
    <row r="18" spans="1:26">
      <c r="A18" s="694" t="s">
        <v>426</v>
      </c>
      <c r="B18" s="694" t="s">
        <v>154</v>
      </c>
      <c r="C18" s="694" t="s">
        <v>427</v>
      </c>
      <c r="D18" s="694" t="s">
        <v>428</v>
      </c>
      <c r="E18" s="694" t="s">
        <v>377</v>
      </c>
      <c r="F18" s="694" t="s">
        <v>378</v>
      </c>
      <c r="G18" s="694" t="s">
        <v>379</v>
      </c>
      <c r="H18" s="694" t="s">
        <v>380</v>
      </c>
      <c r="I18" s="694" t="s">
        <v>429</v>
      </c>
      <c r="J18" s="694" t="s">
        <v>382</v>
      </c>
      <c r="K18" s="695" t="s">
        <v>430</v>
      </c>
      <c r="L18" s="695" t="s">
        <v>431</v>
      </c>
      <c r="M18" s="695" t="s">
        <v>432</v>
      </c>
      <c r="N18" s="694" t="s">
        <v>433</v>
      </c>
      <c r="O18" s="694" t="s">
        <v>387</v>
      </c>
      <c r="P18" s="696">
        <v>2.52</v>
      </c>
      <c r="Q18" s="694" t="s">
        <v>434</v>
      </c>
      <c r="R18" s="697">
        <v>139275.38</v>
      </c>
      <c r="S18" s="697">
        <v>640.91999999999996</v>
      </c>
      <c r="T18" s="697">
        <v>139916.29999999999</v>
      </c>
      <c r="U18" s="697">
        <v>390900.66</v>
      </c>
      <c r="V18" s="697">
        <v>381007.11</v>
      </c>
      <c r="W18" s="697">
        <v>144679.31</v>
      </c>
      <c r="X18" s="698">
        <v>1</v>
      </c>
      <c r="Y18" s="698">
        <v>122</v>
      </c>
      <c r="Z18" s="698">
        <v>44</v>
      </c>
    </row>
    <row r="19" spans="1:26">
      <c r="A19" s="699" t="s">
        <v>435</v>
      </c>
      <c r="B19" s="699" t="s">
        <v>155</v>
      </c>
      <c r="C19" s="699" t="s">
        <v>436</v>
      </c>
      <c r="D19" s="699" t="s">
        <v>391</v>
      </c>
      <c r="E19" s="699" t="s">
        <v>377</v>
      </c>
      <c r="F19" s="699" t="s">
        <v>378</v>
      </c>
      <c r="G19" s="699" t="s">
        <v>379</v>
      </c>
      <c r="H19" s="699" t="s">
        <v>380</v>
      </c>
      <c r="I19" s="699" t="s">
        <v>381</v>
      </c>
      <c r="J19" s="699" t="s">
        <v>382</v>
      </c>
      <c r="K19" s="700" t="s">
        <v>408</v>
      </c>
      <c r="L19" s="700" t="s">
        <v>409</v>
      </c>
      <c r="M19" s="700" t="s">
        <v>437</v>
      </c>
      <c r="N19" s="699" t="s">
        <v>438</v>
      </c>
      <c r="O19" s="699" t="s">
        <v>387</v>
      </c>
      <c r="P19" s="701">
        <v>5.18</v>
      </c>
      <c r="Q19" s="699" t="s">
        <v>412</v>
      </c>
      <c r="R19" s="702">
        <v>126614.54</v>
      </c>
      <c r="S19" s="702">
        <v>197.03</v>
      </c>
      <c r="T19" s="702">
        <v>126811.57</v>
      </c>
      <c r="U19" s="702">
        <v>289395.31</v>
      </c>
      <c r="V19" s="702">
        <v>270352.40000000002</v>
      </c>
      <c r="W19" s="702">
        <v>129495.62</v>
      </c>
      <c r="X19" s="703">
        <v>1</v>
      </c>
      <c r="Y19" s="703">
        <v>33</v>
      </c>
      <c r="Z19" s="703">
        <v>19</v>
      </c>
    </row>
    <row r="20" spans="1:26">
      <c r="A20" s="694" t="s">
        <v>439</v>
      </c>
      <c r="B20" s="694" t="s">
        <v>156</v>
      </c>
      <c r="C20" s="694" t="s">
        <v>440</v>
      </c>
      <c r="D20" s="694" t="s">
        <v>376</v>
      </c>
      <c r="E20" s="694" t="s">
        <v>377</v>
      </c>
      <c r="F20" s="694" t="s">
        <v>378</v>
      </c>
      <c r="G20" s="694" t="s">
        <v>379</v>
      </c>
      <c r="H20" s="694" t="s">
        <v>380</v>
      </c>
      <c r="I20" s="694" t="s">
        <v>429</v>
      </c>
      <c r="J20" s="694" t="s">
        <v>382</v>
      </c>
      <c r="K20" s="695" t="s">
        <v>421</v>
      </c>
      <c r="L20" s="695" t="s">
        <v>441</v>
      </c>
      <c r="M20" s="695" t="s">
        <v>442</v>
      </c>
      <c r="N20" s="694" t="s">
        <v>443</v>
      </c>
      <c r="O20" s="694" t="s">
        <v>387</v>
      </c>
      <c r="P20" s="696">
        <v>9.49</v>
      </c>
      <c r="Q20" s="694" t="s">
        <v>388</v>
      </c>
      <c r="R20" s="697">
        <v>96108.74</v>
      </c>
      <c r="S20" s="697">
        <v>3414.14</v>
      </c>
      <c r="T20" s="697">
        <v>99522.880000000005</v>
      </c>
      <c r="U20" s="697">
        <v>315390.52</v>
      </c>
      <c r="V20" s="697">
        <v>302222.39</v>
      </c>
      <c r="W20" s="697">
        <v>102930.11</v>
      </c>
      <c r="X20" s="698">
        <v>2</v>
      </c>
      <c r="Y20" s="698">
        <v>56</v>
      </c>
      <c r="Z20" s="698">
        <v>12</v>
      </c>
    </row>
    <row r="21" spans="1:26" ht="25.5">
      <c r="A21" s="699" t="s">
        <v>444</v>
      </c>
      <c r="B21" s="699" t="s">
        <v>157</v>
      </c>
      <c r="C21" s="699" t="s">
        <v>445</v>
      </c>
      <c r="D21" s="699" t="s">
        <v>376</v>
      </c>
      <c r="E21" s="699" t="s">
        <v>377</v>
      </c>
      <c r="F21" s="699" t="s">
        <v>378</v>
      </c>
      <c r="G21" s="699" t="s">
        <v>379</v>
      </c>
      <c r="H21" s="699" t="s">
        <v>380</v>
      </c>
      <c r="I21" s="699" t="s">
        <v>446</v>
      </c>
      <c r="J21" s="699" t="s">
        <v>382</v>
      </c>
      <c r="K21" s="700" t="s">
        <v>421</v>
      </c>
      <c r="L21" s="700" t="s">
        <v>447</v>
      </c>
      <c r="M21" s="700" t="s">
        <v>448</v>
      </c>
      <c r="N21" s="699" t="s">
        <v>449</v>
      </c>
      <c r="O21" s="699" t="s">
        <v>387</v>
      </c>
      <c r="P21" s="701">
        <v>21.76</v>
      </c>
      <c r="Q21" s="699" t="s">
        <v>388</v>
      </c>
      <c r="R21" s="702">
        <v>95764.34</v>
      </c>
      <c r="S21" s="702">
        <v>1322.54</v>
      </c>
      <c r="T21" s="702">
        <v>97086.88</v>
      </c>
      <c r="U21" s="702">
        <v>290030.37</v>
      </c>
      <c r="V21" s="702">
        <v>290030.37</v>
      </c>
      <c r="W21" s="702">
        <v>101930.3</v>
      </c>
      <c r="X21" s="703">
        <v>0</v>
      </c>
      <c r="Y21" s="703">
        <v>288</v>
      </c>
      <c r="Z21" s="703">
        <v>23</v>
      </c>
    </row>
    <row r="22" spans="1:26">
      <c r="A22" s="694" t="s">
        <v>450</v>
      </c>
      <c r="B22" s="694" t="s">
        <v>158</v>
      </c>
      <c r="C22" s="694" t="s">
        <v>451</v>
      </c>
      <c r="D22" s="694" t="s">
        <v>376</v>
      </c>
      <c r="E22" s="694" t="s">
        <v>377</v>
      </c>
      <c r="F22" s="694" t="s">
        <v>378</v>
      </c>
      <c r="G22" s="694" t="s">
        <v>392</v>
      </c>
      <c r="H22" s="694" t="s">
        <v>393</v>
      </c>
      <c r="I22" s="694" t="s">
        <v>381</v>
      </c>
      <c r="J22" s="694" t="s">
        <v>382</v>
      </c>
      <c r="K22" s="695" t="s">
        <v>452</v>
      </c>
      <c r="L22" s="695" t="s">
        <v>453</v>
      </c>
      <c r="M22" s="695" t="s">
        <v>454</v>
      </c>
      <c r="N22" s="694" t="s">
        <v>443</v>
      </c>
      <c r="O22" s="694" t="s">
        <v>387</v>
      </c>
      <c r="P22" s="696">
        <v>3.48</v>
      </c>
      <c r="Q22" s="694" t="s">
        <v>412</v>
      </c>
      <c r="R22" s="697">
        <v>88516.74</v>
      </c>
      <c r="S22" s="697">
        <v>2345.73</v>
      </c>
      <c r="T22" s="697">
        <v>90862.47</v>
      </c>
      <c r="U22" s="697">
        <v>248592.1</v>
      </c>
      <c r="V22" s="697">
        <v>166934</v>
      </c>
      <c r="W22" s="697">
        <v>93625.11</v>
      </c>
      <c r="X22" s="698">
        <v>0</v>
      </c>
      <c r="Y22" s="698">
        <v>61</v>
      </c>
      <c r="Z22" s="698">
        <v>11</v>
      </c>
    </row>
    <row r="23" spans="1:26">
      <c r="A23" s="699" t="s">
        <v>455</v>
      </c>
      <c r="B23" s="699" t="s">
        <v>159</v>
      </c>
      <c r="C23" s="699" t="s">
        <v>456</v>
      </c>
      <c r="D23" s="699" t="s">
        <v>391</v>
      </c>
      <c r="E23" s="699" t="s">
        <v>377</v>
      </c>
      <c r="F23" s="699" t="s">
        <v>378</v>
      </c>
      <c r="G23" s="699" t="s">
        <v>379</v>
      </c>
      <c r="H23" s="699" t="s">
        <v>380</v>
      </c>
      <c r="I23" s="699" t="s">
        <v>429</v>
      </c>
      <c r="J23" s="699" t="s">
        <v>382</v>
      </c>
      <c r="K23" s="700" t="s">
        <v>452</v>
      </c>
      <c r="L23" s="700" t="s">
        <v>457</v>
      </c>
      <c r="M23" s="700" t="s">
        <v>458</v>
      </c>
      <c r="N23" s="699" t="s">
        <v>459</v>
      </c>
      <c r="O23" s="699" t="s">
        <v>387</v>
      </c>
      <c r="P23" s="701">
        <v>6.19</v>
      </c>
      <c r="Q23" s="699" t="s">
        <v>412</v>
      </c>
      <c r="R23" s="702">
        <v>8274.73</v>
      </c>
      <c r="S23" s="702">
        <v>82372.94</v>
      </c>
      <c r="T23" s="702">
        <v>90647.67</v>
      </c>
      <c r="U23" s="702">
        <v>122892</v>
      </c>
      <c r="V23" s="702">
        <v>122892</v>
      </c>
      <c r="W23" s="702">
        <v>95647.67</v>
      </c>
      <c r="X23" s="703">
        <v>0</v>
      </c>
      <c r="Y23" s="703">
        <v>30</v>
      </c>
      <c r="Z23" s="703">
        <v>17</v>
      </c>
    </row>
    <row r="24" spans="1:26">
      <c r="A24" s="694" t="s">
        <v>460</v>
      </c>
      <c r="B24" s="694" t="s">
        <v>160</v>
      </c>
      <c r="C24" s="694" t="s">
        <v>461</v>
      </c>
      <c r="D24" s="694" t="s">
        <v>428</v>
      </c>
      <c r="E24" s="694" t="s">
        <v>377</v>
      </c>
      <c r="F24" s="694" t="s">
        <v>378</v>
      </c>
      <c r="G24" s="694" t="s">
        <v>392</v>
      </c>
      <c r="H24" s="694" t="s">
        <v>393</v>
      </c>
      <c r="I24" s="694" t="s">
        <v>381</v>
      </c>
      <c r="J24" s="694" t="s">
        <v>382</v>
      </c>
      <c r="K24" s="695" t="s">
        <v>430</v>
      </c>
      <c r="L24" s="695" t="s">
        <v>431</v>
      </c>
      <c r="M24" s="695" t="s">
        <v>462</v>
      </c>
      <c r="N24" s="694" t="s">
        <v>463</v>
      </c>
      <c r="O24" s="694" t="s">
        <v>387</v>
      </c>
      <c r="P24" s="696">
        <v>2.73</v>
      </c>
      <c r="Q24" s="694" t="s">
        <v>412</v>
      </c>
      <c r="R24" s="697">
        <v>87377.54</v>
      </c>
      <c r="S24" s="697">
        <v>2120.5700000000002</v>
      </c>
      <c r="T24" s="697">
        <v>89498.11</v>
      </c>
      <c r="U24" s="697">
        <v>208386.19</v>
      </c>
      <c r="V24" s="697">
        <v>208386.19</v>
      </c>
      <c r="W24" s="697">
        <v>91156.39</v>
      </c>
      <c r="X24" s="698">
        <v>2</v>
      </c>
      <c r="Y24" s="698">
        <v>66</v>
      </c>
      <c r="Z24" s="698">
        <v>58</v>
      </c>
    </row>
    <row r="25" spans="1:26">
      <c r="A25" s="699" t="s">
        <v>149</v>
      </c>
      <c r="B25" s="699" t="s">
        <v>149</v>
      </c>
      <c r="C25" s="699" t="s">
        <v>149</v>
      </c>
      <c r="D25" s="699" t="s">
        <v>376</v>
      </c>
      <c r="E25" s="699" t="s">
        <v>377</v>
      </c>
      <c r="F25" s="699" t="s">
        <v>378</v>
      </c>
      <c r="G25" s="699" t="s">
        <v>379</v>
      </c>
      <c r="H25" s="699" t="s">
        <v>380</v>
      </c>
      <c r="I25" s="699" t="s">
        <v>400</v>
      </c>
      <c r="J25" s="699" t="s">
        <v>382</v>
      </c>
      <c r="K25" s="700" t="s">
        <v>408</v>
      </c>
      <c r="L25" s="700" t="s">
        <v>464</v>
      </c>
      <c r="M25" s="700" t="s">
        <v>465</v>
      </c>
      <c r="N25" s="699" t="s">
        <v>466</v>
      </c>
      <c r="O25" s="699" t="s">
        <v>387</v>
      </c>
      <c r="P25" s="701">
        <v>9.99</v>
      </c>
      <c r="Q25" s="699" t="s">
        <v>388</v>
      </c>
      <c r="R25" s="702">
        <v>83475.960000000006</v>
      </c>
      <c r="S25" s="702">
        <v>801.5</v>
      </c>
      <c r="T25" s="702">
        <v>84277.46</v>
      </c>
      <c r="U25" s="702">
        <v>382224.03</v>
      </c>
      <c r="V25" s="702">
        <v>237276.88</v>
      </c>
      <c r="W25" s="702">
        <v>85051.01</v>
      </c>
      <c r="X25" s="703">
        <v>1</v>
      </c>
      <c r="Y25" s="703">
        <v>214</v>
      </c>
      <c r="Z25" s="703">
        <v>35</v>
      </c>
    </row>
    <row r="26" spans="1:26" ht="25.5">
      <c r="A26" s="694" t="s">
        <v>467</v>
      </c>
      <c r="B26" s="694" t="s">
        <v>161</v>
      </c>
      <c r="C26" s="694" t="s">
        <v>468</v>
      </c>
      <c r="D26" s="694" t="s">
        <v>391</v>
      </c>
      <c r="E26" s="694" t="s">
        <v>377</v>
      </c>
      <c r="F26" s="694" t="s">
        <v>378</v>
      </c>
      <c r="G26" s="694" t="s">
        <v>379</v>
      </c>
      <c r="H26" s="694" t="s">
        <v>380</v>
      </c>
      <c r="I26" s="694" t="s">
        <v>381</v>
      </c>
      <c r="J26" s="694" t="s">
        <v>382</v>
      </c>
      <c r="K26" s="695" t="s">
        <v>408</v>
      </c>
      <c r="L26" s="695" t="s">
        <v>469</v>
      </c>
      <c r="M26" s="695" t="s">
        <v>470</v>
      </c>
      <c r="N26" s="694" t="s">
        <v>471</v>
      </c>
      <c r="O26" s="694" t="s">
        <v>387</v>
      </c>
      <c r="P26" s="696">
        <v>5.36</v>
      </c>
      <c r="Q26" s="694" t="s">
        <v>412</v>
      </c>
      <c r="R26" s="697">
        <v>79122.720000000001</v>
      </c>
      <c r="S26" s="697">
        <v>2181.7800000000002</v>
      </c>
      <c r="T26" s="697">
        <v>81304.5</v>
      </c>
      <c r="U26" s="697">
        <v>87520.2</v>
      </c>
      <c r="V26" s="697">
        <v>87385.2</v>
      </c>
      <c r="W26" s="697">
        <v>84678.09</v>
      </c>
      <c r="X26" s="698">
        <v>0</v>
      </c>
      <c r="Y26" s="698">
        <v>153</v>
      </c>
      <c r="Z26" s="698">
        <v>41</v>
      </c>
    </row>
    <row r="27" spans="1:26">
      <c r="A27" s="699" t="s">
        <v>472</v>
      </c>
      <c r="B27" s="699" t="s">
        <v>162</v>
      </c>
      <c r="C27" s="699" t="s">
        <v>473</v>
      </c>
      <c r="D27" s="699" t="s">
        <v>376</v>
      </c>
      <c r="E27" s="699" t="s">
        <v>377</v>
      </c>
      <c r="F27" s="699" t="s">
        <v>378</v>
      </c>
      <c r="G27" s="699" t="s">
        <v>392</v>
      </c>
      <c r="H27" s="699" t="s">
        <v>393</v>
      </c>
      <c r="I27" s="699" t="s">
        <v>381</v>
      </c>
      <c r="J27" s="699" t="s">
        <v>382</v>
      </c>
      <c r="K27" s="700" t="s">
        <v>452</v>
      </c>
      <c r="L27" s="700" t="s">
        <v>453</v>
      </c>
      <c r="M27" s="700" t="s">
        <v>454</v>
      </c>
      <c r="N27" s="699" t="s">
        <v>443</v>
      </c>
      <c r="O27" s="699" t="s">
        <v>425</v>
      </c>
      <c r="P27" s="701">
        <v>1.29</v>
      </c>
      <c r="Q27" s="699" t="s">
        <v>434</v>
      </c>
      <c r="R27" s="702">
        <v>78606.64</v>
      </c>
      <c r="S27" s="702">
        <v>1155.5899999999999</v>
      </c>
      <c r="T27" s="702">
        <v>79762.23</v>
      </c>
      <c r="U27" s="702">
        <v>111219.42</v>
      </c>
      <c r="V27" s="702">
        <v>111219.42</v>
      </c>
      <c r="W27" s="702">
        <v>80755.53</v>
      </c>
      <c r="X27" s="703">
        <v>0</v>
      </c>
      <c r="Y27" s="703">
        <v>96</v>
      </c>
      <c r="Z27" s="703">
        <v>13</v>
      </c>
    </row>
    <row r="28" spans="1:26">
      <c r="A28" s="694" t="s">
        <v>474</v>
      </c>
      <c r="B28" s="694" t="s">
        <v>163</v>
      </c>
      <c r="C28" s="694" t="s">
        <v>475</v>
      </c>
      <c r="D28" s="694" t="s">
        <v>376</v>
      </c>
      <c r="E28" s="694" t="s">
        <v>377</v>
      </c>
      <c r="F28" s="694" t="s">
        <v>476</v>
      </c>
      <c r="G28" s="694" t="s">
        <v>477</v>
      </c>
      <c r="H28" s="694" t="s">
        <v>380</v>
      </c>
      <c r="I28" s="694" t="s">
        <v>429</v>
      </c>
      <c r="J28" s="694" t="s">
        <v>382</v>
      </c>
      <c r="K28" s="695" t="s">
        <v>402</v>
      </c>
      <c r="L28" s="695" t="s">
        <v>478</v>
      </c>
      <c r="M28" s="695" t="s">
        <v>479</v>
      </c>
      <c r="N28" s="694" t="s">
        <v>480</v>
      </c>
      <c r="O28" s="694" t="s">
        <v>387</v>
      </c>
      <c r="P28" s="696">
        <v>14.45</v>
      </c>
      <c r="Q28" s="694" t="s">
        <v>388</v>
      </c>
      <c r="R28" s="697">
        <v>72871.33</v>
      </c>
      <c r="S28" s="697">
        <v>905.88</v>
      </c>
      <c r="T28" s="697">
        <v>73777.210000000006</v>
      </c>
      <c r="U28" s="697">
        <v>205906.83</v>
      </c>
      <c r="V28" s="697">
        <v>204490.7</v>
      </c>
      <c r="W28" s="697">
        <v>78777.210000000006</v>
      </c>
      <c r="X28" s="698">
        <v>0</v>
      </c>
      <c r="Y28" s="698">
        <v>19</v>
      </c>
      <c r="Z28" s="698">
        <v>13</v>
      </c>
    </row>
    <row r="29" spans="1:26">
      <c r="A29" s="699" t="s">
        <v>481</v>
      </c>
      <c r="B29" s="699" t="s">
        <v>164</v>
      </c>
      <c r="C29" s="699" t="s">
        <v>482</v>
      </c>
      <c r="D29" s="699" t="s">
        <v>376</v>
      </c>
      <c r="E29" s="699" t="s">
        <v>377</v>
      </c>
      <c r="F29" s="699" t="s">
        <v>378</v>
      </c>
      <c r="G29" s="699" t="s">
        <v>379</v>
      </c>
      <c r="H29" s="699" t="s">
        <v>380</v>
      </c>
      <c r="I29" s="699" t="s">
        <v>400</v>
      </c>
      <c r="J29" s="699" t="s">
        <v>382</v>
      </c>
      <c r="K29" s="700" t="s">
        <v>408</v>
      </c>
      <c r="L29" s="700" t="s">
        <v>483</v>
      </c>
      <c r="M29" s="700" t="s">
        <v>484</v>
      </c>
      <c r="N29" s="699" t="s">
        <v>485</v>
      </c>
      <c r="O29" s="699" t="s">
        <v>387</v>
      </c>
      <c r="P29" s="701">
        <v>2.73</v>
      </c>
      <c r="Q29" s="699" t="s">
        <v>412</v>
      </c>
      <c r="R29" s="702">
        <v>72775.3</v>
      </c>
      <c r="S29" s="702">
        <v>252.32</v>
      </c>
      <c r="T29" s="702">
        <v>73027.62</v>
      </c>
      <c r="U29" s="702">
        <v>95586.55</v>
      </c>
      <c r="V29" s="702">
        <v>95586.55</v>
      </c>
      <c r="W29" s="702">
        <v>75514.600000000006</v>
      </c>
      <c r="X29" s="703">
        <v>0</v>
      </c>
      <c r="Y29" s="703">
        <v>103</v>
      </c>
      <c r="Z29" s="703">
        <v>31</v>
      </c>
    </row>
    <row r="30" spans="1:26">
      <c r="A30" s="694" t="s">
        <v>486</v>
      </c>
      <c r="B30" s="694" t="s">
        <v>165</v>
      </c>
      <c r="C30" s="694" t="s">
        <v>487</v>
      </c>
      <c r="D30" s="694" t="s">
        <v>376</v>
      </c>
      <c r="E30" s="694" t="s">
        <v>377</v>
      </c>
      <c r="F30" s="694" t="s">
        <v>378</v>
      </c>
      <c r="G30" s="694" t="s">
        <v>379</v>
      </c>
      <c r="H30" s="694" t="s">
        <v>380</v>
      </c>
      <c r="I30" s="694" t="s">
        <v>400</v>
      </c>
      <c r="J30" s="694" t="s">
        <v>382</v>
      </c>
      <c r="K30" s="695" t="s">
        <v>383</v>
      </c>
      <c r="L30" s="695" t="s">
        <v>488</v>
      </c>
      <c r="M30" s="695" t="s">
        <v>489</v>
      </c>
      <c r="N30" s="694" t="s">
        <v>490</v>
      </c>
      <c r="O30" s="694" t="s">
        <v>491</v>
      </c>
      <c r="P30" s="696">
        <v>8.01</v>
      </c>
      <c r="Q30" s="694" t="s">
        <v>412</v>
      </c>
      <c r="R30" s="697">
        <v>71630.289999999994</v>
      </c>
      <c r="S30" s="697">
        <v>308.92</v>
      </c>
      <c r="T30" s="697">
        <v>71939.210000000006</v>
      </c>
      <c r="U30" s="697">
        <v>140997.35</v>
      </c>
      <c r="V30" s="697">
        <v>140997.35</v>
      </c>
      <c r="W30" s="697">
        <v>74406.83</v>
      </c>
      <c r="X30" s="698">
        <v>1</v>
      </c>
      <c r="Y30" s="698">
        <v>41</v>
      </c>
      <c r="Z30" s="698">
        <v>13</v>
      </c>
    </row>
    <row r="31" spans="1:26" ht="25.5">
      <c r="A31" s="699" t="s">
        <v>492</v>
      </c>
      <c r="B31" s="699" t="s">
        <v>166</v>
      </c>
      <c r="C31" s="699" t="s">
        <v>493</v>
      </c>
      <c r="D31" s="699" t="s">
        <v>428</v>
      </c>
      <c r="E31" s="699" t="s">
        <v>377</v>
      </c>
      <c r="F31" s="699" t="s">
        <v>378</v>
      </c>
      <c r="G31" s="699" t="s">
        <v>392</v>
      </c>
      <c r="H31" s="699" t="s">
        <v>393</v>
      </c>
      <c r="I31" s="699" t="s">
        <v>381</v>
      </c>
      <c r="J31" s="699" t="s">
        <v>382</v>
      </c>
      <c r="K31" s="700" t="s">
        <v>383</v>
      </c>
      <c r="L31" s="700" t="s">
        <v>384</v>
      </c>
      <c r="M31" s="700" t="s">
        <v>494</v>
      </c>
      <c r="N31" s="699" t="s">
        <v>495</v>
      </c>
      <c r="O31" s="699" t="s">
        <v>387</v>
      </c>
      <c r="P31" s="701">
        <v>2.65</v>
      </c>
      <c r="Q31" s="699" t="s">
        <v>412</v>
      </c>
      <c r="R31" s="702">
        <v>69655.37</v>
      </c>
      <c r="S31" s="702">
        <v>106.48</v>
      </c>
      <c r="T31" s="702">
        <v>69761.850000000006</v>
      </c>
      <c r="U31" s="702">
        <v>98199.67</v>
      </c>
      <c r="V31" s="702">
        <v>98199.67</v>
      </c>
      <c r="W31" s="702">
        <v>73969.919999999998</v>
      </c>
      <c r="X31" s="703">
        <v>2</v>
      </c>
      <c r="Y31" s="703">
        <v>66</v>
      </c>
      <c r="Z31" s="703">
        <v>2</v>
      </c>
    </row>
    <row r="32" spans="1:26" ht="25.5">
      <c r="A32" s="694" t="s">
        <v>496</v>
      </c>
      <c r="B32" s="694" t="s">
        <v>167</v>
      </c>
      <c r="C32" s="694" t="s">
        <v>497</v>
      </c>
      <c r="D32" s="694" t="s">
        <v>376</v>
      </c>
      <c r="E32" s="694" t="s">
        <v>377</v>
      </c>
      <c r="F32" s="694" t="s">
        <v>476</v>
      </c>
      <c r="G32" s="694" t="s">
        <v>477</v>
      </c>
      <c r="H32" s="694" t="s">
        <v>380</v>
      </c>
      <c r="I32" s="694" t="s">
        <v>498</v>
      </c>
      <c r="J32" s="694" t="s">
        <v>382</v>
      </c>
      <c r="K32" s="695" t="s">
        <v>499</v>
      </c>
      <c r="L32" s="695" t="s">
        <v>500</v>
      </c>
      <c r="M32" s="695" t="s">
        <v>501</v>
      </c>
      <c r="N32" s="694" t="s">
        <v>502</v>
      </c>
      <c r="O32" s="694" t="s">
        <v>387</v>
      </c>
      <c r="P32" s="696">
        <v>2.35</v>
      </c>
      <c r="Q32" s="694" t="s">
        <v>434</v>
      </c>
      <c r="R32" s="697">
        <v>62182.18</v>
      </c>
      <c r="S32" s="697">
        <v>4610.1000000000004</v>
      </c>
      <c r="T32" s="697">
        <v>66792.28</v>
      </c>
      <c r="U32" s="697">
        <v>105634.04</v>
      </c>
      <c r="V32" s="697">
        <v>105543.81</v>
      </c>
      <c r="W32" s="697">
        <v>70654.52</v>
      </c>
      <c r="X32" s="698">
        <v>1</v>
      </c>
      <c r="Y32" s="698">
        <v>79</v>
      </c>
      <c r="Z32" s="698">
        <v>26</v>
      </c>
    </row>
    <row r="33" spans="1:26">
      <c r="A33" s="699" t="s">
        <v>503</v>
      </c>
      <c r="B33" s="699" t="s">
        <v>168</v>
      </c>
      <c r="C33" s="699" t="s">
        <v>504</v>
      </c>
      <c r="D33" s="699" t="s">
        <v>391</v>
      </c>
      <c r="E33" s="699" t="s">
        <v>377</v>
      </c>
      <c r="F33" s="699" t="s">
        <v>378</v>
      </c>
      <c r="G33" s="699" t="s">
        <v>379</v>
      </c>
      <c r="H33" s="699" t="s">
        <v>380</v>
      </c>
      <c r="I33" s="699" t="s">
        <v>381</v>
      </c>
      <c r="J33" s="699" t="s">
        <v>382</v>
      </c>
      <c r="K33" s="700" t="s">
        <v>408</v>
      </c>
      <c r="L33" s="700" t="s">
        <v>409</v>
      </c>
      <c r="M33" s="700" t="s">
        <v>505</v>
      </c>
      <c r="N33" s="699" t="s">
        <v>506</v>
      </c>
      <c r="O33" s="699" t="s">
        <v>387</v>
      </c>
      <c r="P33" s="701">
        <v>2.36</v>
      </c>
      <c r="Q33" s="699" t="s">
        <v>434</v>
      </c>
      <c r="R33" s="702">
        <v>62764.35</v>
      </c>
      <c r="S33" s="702">
        <v>834.11</v>
      </c>
      <c r="T33" s="702">
        <v>63598.46</v>
      </c>
      <c r="U33" s="702">
        <v>93213.17</v>
      </c>
      <c r="V33" s="702">
        <v>91815.77</v>
      </c>
      <c r="W33" s="702">
        <v>66692.42</v>
      </c>
      <c r="X33" s="703">
        <v>1</v>
      </c>
      <c r="Y33" s="703">
        <v>142</v>
      </c>
      <c r="Z33" s="703">
        <v>34</v>
      </c>
    </row>
    <row r="34" spans="1:26">
      <c r="A34" s="694" t="s">
        <v>507</v>
      </c>
      <c r="B34" s="694" t="s">
        <v>169</v>
      </c>
      <c r="C34" s="694" t="s">
        <v>508</v>
      </c>
      <c r="D34" s="694" t="s">
        <v>391</v>
      </c>
      <c r="E34" s="694" t="s">
        <v>377</v>
      </c>
      <c r="F34" s="694" t="s">
        <v>476</v>
      </c>
      <c r="G34" s="694" t="s">
        <v>477</v>
      </c>
      <c r="H34" s="694" t="s">
        <v>380</v>
      </c>
      <c r="I34" s="694" t="s">
        <v>429</v>
      </c>
      <c r="J34" s="694" t="s">
        <v>382</v>
      </c>
      <c r="K34" s="695" t="s">
        <v>408</v>
      </c>
      <c r="L34" s="695" t="s">
        <v>483</v>
      </c>
      <c r="M34" s="695" t="s">
        <v>509</v>
      </c>
      <c r="N34" s="694" t="s">
        <v>510</v>
      </c>
      <c r="O34" s="694" t="s">
        <v>387</v>
      </c>
      <c r="P34" s="696">
        <v>4.04</v>
      </c>
      <c r="Q34" s="694" t="s">
        <v>412</v>
      </c>
      <c r="R34" s="697">
        <v>57035.12</v>
      </c>
      <c r="S34" s="697">
        <v>5292.76</v>
      </c>
      <c r="T34" s="697">
        <v>62327.88</v>
      </c>
      <c r="U34" s="697">
        <v>78489.16</v>
      </c>
      <c r="V34" s="697">
        <v>78471.41</v>
      </c>
      <c r="W34" s="697">
        <v>66853.429999999993</v>
      </c>
      <c r="X34" s="698">
        <v>0</v>
      </c>
      <c r="Y34" s="698">
        <v>86</v>
      </c>
      <c r="Z34" s="698">
        <v>44</v>
      </c>
    </row>
    <row r="35" spans="1:26">
      <c r="A35" s="699" t="s">
        <v>511</v>
      </c>
      <c r="B35" s="699" t="s">
        <v>170</v>
      </c>
      <c r="C35" s="699" t="s">
        <v>512</v>
      </c>
      <c r="D35" s="699" t="s">
        <v>376</v>
      </c>
      <c r="E35" s="699" t="s">
        <v>377</v>
      </c>
      <c r="F35" s="699" t="s">
        <v>378</v>
      </c>
      <c r="G35" s="699" t="s">
        <v>392</v>
      </c>
      <c r="H35" s="699" t="s">
        <v>393</v>
      </c>
      <c r="I35" s="699" t="s">
        <v>400</v>
      </c>
      <c r="J35" s="699" t="s">
        <v>382</v>
      </c>
      <c r="K35" s="700" t="s">
        <v>394</v>
      </c>
      <c r="L35" s="700" t="s">
        <v>513</v>
      </c>
      <c r="M35" s="700" t="s">
        <v>514</v>
      </c>
      <c r="N35" s="699" t="s">
        <v>443</v>
      </c>
      <c r="O35" s="699" t="s">
        <v>515</v>
      </c>
      <c r="P35" s="701">
        <v>4.3899999999999997</v>
      </c>
      <c r="Q35" s="699" t="s">
        <v>412</v>
      </c>
      <c r="R35" s="702">
        <v>59284</v>
      </c>
      <c r="S35" s="702">
        <v>2502.1999999999998</v>
      </c>
      <c r="T35" s="702">
        <v>61786.2</v>
      </c>
      <c r="U35" s="702">
        <v>22316.400000000001</v>
      </c>
      <c r="V35" s="702">
        <v>69139.539999999994</v>
      </c>
      <c r="W35" s="702">
        <v>63016.959999999999</v>
      </c>
      <c r="X35" s="703">
        <v>1</v>
      </c>
      <c r="Y35" s="703">
        <v>65</v>
      </c>
      <c r="Z35" s="703">
        <v>28</v>
      </c>
    </row>
    <row r="36" spans="1:26">
      <c r="A36" s="694" t="s">
        <v>516</v>
      </c>
      <c r="B36" s="694" t="s">
        <v>171</v>
      </c>
      <c r="C36" s="694" t="s">
        <v>517</v>
      </c>
      <c r="D36" s="694" t="s">
        <v>428</v>
      </c>
      <c r="E36" s="694" t="s">
        <v>377</v>
      </c>
      <c r="F36" s="694" t="s">
        <v>378</v>
      </c>
      <c r="G36" s="694" t="s">
        <v>379</v>
      </c>
      <c r="H36" s="694" t="s">
        <v>380</v>
      </c>
      <c r="I36" s="694" t="s">
        <v>381</v>
      </c>
      <c r="J36" s="694" t="s">
        <v>382</v>
      </c>
      <c r="K36" s="695" t="s">
        <v>430</v>
      </c>
      <c r="L36" s="695" t="s">
        <v>518</v>
      </c>
      <c r="M36" s="695" t="s">
        <v>519</v>
      </c>
      <c r="N36" s="694" t="s">
        <v>520</v>
      </c>
      <c r="O36" s="694" t="s">
        <v>387</v>
      </c>
      <c r="P36" s="696">
        <v>24.83</v>
      </c>
      <c r="Q36" s="694" t="s">
        <v>388</v>
      </c>
      <c r="R36" s="697">
        <v>4445.68</v>
      </c>
      <c r="S36" s="697">
        <v>54263.64</v>
      </c>
      <c r="T36" s="697">
        <v>58709.32</v>
      </c>
      <c r="U36" s="697">
        <v>93800.69</v>
      </c>
      <c r="V36" s="697">
        <v>93800.69</v>
      </c>
      <c r="W36" s="697">
        <v>61967.8</v>
      </c>
      <c r="X36" s="698">
        <v>0</v>
      </c>
      <c r="Y36" s="698">
        <v>28</v>
      </c>
      <c r="Z36" s="698">
        <v>80</v>
      </c>
    </row>
    <row r="37" spans="1:26">
      <c r="A37" s="699" t="s">
        <v>521</v>
      </c>
      <c r="B37" s="699" t="s">
        <v>172</v>
      </c>
      <c r="C37" s="699" t="s">
        <v>522</v>
      </c>
      <c r="D37" s="699" t="s">
        <v>376</v>
      </c>
      <c r="E37" s="699" t="s">
        <v>377</v>
      </c>
      <c r="F37" s="699" t="s">
        <v>378</v>
      </c>
      <c r="G37" s="699" t="s">
        <v>392</v>
      </c>
      <c r="H37" s="699" t="s">
        <v>393</v>
      </c>
      <c r="I37" s="699" t="s">
        <v>446</v>
      </c>
      <c r="J37" s="699" t="s">
        <v>382</v>
      </c>
      <c r="K37" s="700" t="s">
        <v>408</v>
      </c>
      <c r="L37" s="700" t="s">
        <v>483</v>
      </c>
      <c r="M37" s="700" t="s">
        <v>523</v>
      </c>
      <c r="N37" s="699" t="s">
        <v>524</v>
      </c>
      <c r="O37" s="699" t="s">
        <v>387</v>
      </c>
      <c r="P37" s="701">
        <v>1.1399999999999999</v>
      </c>
      <c r="Q37" s="699" t="s">
        <v>434</v>
      </c>
      <c r="R37" s="702">
        <v>58661.38</v>
      </c>
      <c r="S37" s="702">
        <v>9.61</v>
      </c>
      <c r="T37" s="702">
        <v>58670.99</v>
      </c>
      <c r="U37" s="702">
        <v>85124.43</v>
      </c>
      <c r="V37" s="702">
        <v>85124.43</v>
      </c>
      <c r="W37" s="702">
        <v>63709.04</v>
      </c>
      <c r="X37" s="703">
        <v>0</v>
      </c>
      <c r="Y37" s="703">
        <v>38</v>
      </c>
      <c r="Z37" s="703">
        <v>2</v>
      </c>
    </row>
    <row r="38" spans="1:26">
      <c r="A38" s="694" t="s">
        <v>525</v>
      </c>
      <c r="B38" s="694" t="s">
        <v>173</v>
      </c>
      <c r="C38" s="694" t="s">
        <v>526</v>
      </c>
      <c r="D38" s="694" t="s">
        <v>428</v>
      </c>
      <c r="E38" s="694" t="s">
        <v>377</v>
      </c>
      <c r="F38" s="694" t="s">
        <v>378</v>
      </c>
      <c r="G38" s="694" t="s">
        <v>379</v>
      </c>
      <c r="H38" s="694" t="s">
        <v>380</v>
      </c>
      <c r="I38" s="694" t="s">
        <v>381</v>
      </c>
      <c r="J38" s="694" t="s">
        <v>382</v>
      </c>
      <c r="K38" s="695" t="s">
        <v>430</v>
      </c>
      <c r="L38" s="695" t="s">
        <v>431</v>
      </c>
      <c r="M38" s="695" t="s">
        <v>462</v>
      </c>
      <c r="N38" s="694" t="s">
        <v>527</v>
      </c>
      <c r="O38" s="694" t="s">
        <v>387</v>
      </c>
      <c r="P38" s="696">
        <v>2.17</v>
      </c>
      <c r="Q38" s="694" t="s">
        <v>434</v>
      </c>
      <c r="R38" s="697">
        <v>58326.65</v>
      </c>
      <c r="S38" s="697">
        <v>144.72</v>
      </c>
      <c r="T38" s="697">
        <v>58471.37</v>
      </c>
      <c r="U38" s="697">
        <v>84616</v>
      </c>
      <c r="V38" s="697">
        <v>84400.2</v>
      </c>
      <c r="W38" s="697">
        <v>60670.2</v>
      </c>
      <c r="X38" s="698">
        <v>2</v>
      </c>
      <c r="Y38" s="698">
        <v>54</v>
      </c>
      <c r="Z38" s="698">
        <v>22</v>
      </c>
    </row>
    <row r="39" spans="1:26">
      <c r="A39" s="699" t="s">
        <v>528</v>
      </c>
      <c r="B39" s="699" t="s">
        <v>174</v>
      </c>
      <c r="C39" s="699" t="s">
        <v>529</v>
      </c>
      <c r="D39" s="699" t="s">
        <v>391</v>
      </c>
      <c r="E39" s="699" t="s">
        <v>377</v>
      </c>
      <c r="F39" s="699" t="s">
        <v>378</v>
      </c>
      <c r="G39" s="699" t="s">
        <v>379</v>
      </c>
      <c r="H39" s="699" t="s">
        <v>380</v>
      </c>
      <c r="I39" s="699" t="s">
        <v>381</v>
      </c>
      <c r="J39" s="699" t="s">
        <v>382</v>
      </c>
      <c r="K39" s="700" t="s">
        <v>408</v>
      </c>
      <c r="L39" s="700" t="s">
        <v>530</v>
      </c>
      <c r="M39" s="700" t="s">
        <v>531</v>
      </c>
      <c r="N39" s="699" t="s">
        <v>471</v>
      </c>
      <c r="O39" s="699" t="s">
        <v>387</v>
      </c>
      <c r="P39" s="701">
        <v>8.76</v>
      </c>
      <c r="Q39" s="699" t="s">
        <v>388</v>
      </c>
      <c r="R39" s="702">
        <v>44912.9</v>
      </c>
      <c r="S39" s="702">
        <v>11063.56</v>
      </c>
      <c r="T39" s="702">
        <v>55976.46</v>
      </c>
      <c r="U39" s="702">
        <v>104096.02</v>
      </c>
      <c r="V39" s="702">
        <v>104096.02</v>
      </c>
      <c r="W39" s="702">
        <v>60577.31</v>
      </c>
      <c r="X39" s="703">
        <v>0</v>
      </c>
      <c r="Y39" s="703">
        <v>376</v>
      </c>
      <c r="Z39" s="703">
        <v>97</v>
      </c>
    </row>
    <row r="40" spans="1:26">
      <c r="A40" s="694" t="s">
        <v>532</v>
      </c>
      <c r="B40" s="694" t="s">
        <v>175</v>
      </c>
      <c r="C40" s="694" t="s">
        <v>533</v>
      </c>
      <c r="D40" s="694" t="s">
        <v>391</v>
      </c>
      <c r="E40" s="694" t="s">
        <v>377</v>
      </c>
      <c r="F40" s="694" t="s">
        <v>378</v>
      </c>
      <c r="G40" s="694" t="s">
        <v>379</v>
      </c>
      <c r="H40" s="694" t="s">
        <v>380</v>
      </c>
      <c r="I40" s="694" t="s">
        <v>381</v>
      </c>
      <c r="J40" s="694" t="s">
        <v>382</v>
      </c>
      <c r="K40" s="695" t="s">
        <v>394</v>
      </c>
      <c r="L40" s="695" t="s">
        <v>534</v>
      </c>
      <c r="M40" s="695" t="s">
        <v>535</v>
      </c>
      <c r="N40" s="694" t="s">
        <v>536</v>
      </c>
      <c r="O40" s="694" t="s">
        <v>387</v>
      </c>
      <c r="P40" s="696">
        <v>11.78</v>
      </c>
      <c r="Q40" s="694" t="s">
        <v>388</v>
      </c>
      <c r="R40" s="697">
        <v>18431.18</v>
      </c>
      <c r="S40" s="697">
        <v>36445.43</v>
      </c>
      <c r="T40" s="697">
        <v>54876.61</v>
      </c>
      <c r="U40" s="697">
        <v>105738.51</v>
      </c>
      <c r="V40" s="697">
        <v>108934.41</v>
      </c>
      <c r="W40" s="697">
        <v>71987.38</v>
      </c>
      <c r="X40" s="698">
        <v>0</v>
      </c>
      <c r="Y40" s="698">
        <v>104</v>
      </c>
      <c r="Z40" s="698">
        <v>98</v>
      </c>
    </row>
    <row r="41" spans="1:26">
      <c r="A41" s="699" t="s">
        <v>537</v>
      </c>
      <c r="B41" s="699" t="s">
        <v>176</v>
      </c>
      <c r="C41" s="699" t="s">
        <v>538</v>
      </c>
      <c r="D41" s="699" t="s">
        <v>376</v>
      </c>
      <c r="E41" s="699" t="s">
        <v>377</v>
      </c>
      <c r="F41" s="699" t="s">
        <v>378</v>
      </c>
      <c r="G41" s="699" t="s">
        <v>379</v>
      </c>
      <c r="H41" s="699" t="s">
        <v>380</v>
      </c>
      <c r="I41" s="699" t="s">
        <v>429</v>
      </c>
      <c r="J41" s="699" t="s">
        <v>382</v>
      </c>
      <c r="K41" s="700" t="s">
        <v>408</v>
      </c>
      <c r="L41" s="700" t="s">
        <v>483</v>
      </c>
      <c r="M41" s="700" t="s">
        <v>509</v>
      </c>
      <c r="N41" s="699" t="s">
        <v>539</v>
      </c>
      <c r="O41" s="699" t="s">
        <v>387</v>
      </c>
      <c r="P41" s="701">
        <v>2.58</v>
      </c>
      <c r="Q41" s="699" t="s">
        <v>434</v>
      </c>
      <c r="R41" s="702">
        <v>50189.2</v>
      </c>
      <c r="S41" s="702">
        <v>79.81</v>
      </c>
      <c r="T41" s="702">
        <v>50269.01</v>
      </c>
      <c r="U41" s="702">
        <v>71532.070000000007</v>
      </c>
      <c r="V41" s="702">
        <v>71532.070000000007</v>
      </c>
      <c r="W41" s="702">
        <v>55269.01</v>
      </c>
      <c r="X41" s="703">
        <v>1</v>
      </c>
      <c r="Y41" s="703">
        <v>59</v>
      </c>
      <c r="Z41" s="703">
        <v>9</v>
      </c>
    </row>
    <row r="42" spans="1:26">
      <c r="A42" s="694" t="s">
        <v>540</v>
      </c>
      <c r="B42" s="694" t="s">
        <v>177</v>
      </c>
      <c r="C42" s="694" t="s">
        <v>541</v>
      </c>
      <c r="D42" s="694" t="s">
        <v>376</v>
      </c>
      <c r="E42" s="694" t="s">
        <v>377</v>
      </c>
      <c r="F42" s="694" t="s">
        <v>378</v>
      </c>
      <c r="G42" s="694" t="s">
        <v>379</v>
      </c>
      <c r="H42" s="694" t="s">
        <v>380</v>
      </c>
      <c r="I42" s="694" t="s">
        <v>381</v>
      </c>
      <c r="J42" s="694" t="s">
        <v>382</v>
      </c>
      <c r="K42" s="695" t="s">
        <v>394</v>
      </c>
      <c r="L42" s="695" t="s">
        <v>542</v>
      </c>
      <c r="M42" s="695" t="s">
        <v>543</v>
      </c>
      <c r="N42" s="694" t="s">
        <v>544</v>
      </c>
      <c r="O42" s="694" t="s">
        <v>387</v>
      </c>
      <c r="P42" s="696">
        <v>3.04</v>
      </c>
      <c r="Q42" s="694" t="s">
        <v>412</v>
      </c>
      <c r="R42" s="697">
        <v>48900.81</v>
      </c>
      <c r="S42" s="697">
        <v>1301.7</v>
      </c>
      <c r="T42" s="697">
        <v>50202.51</v>
      </c>
      <c r="U42" s="697">
        <v>109955.28</v>
      </c>
      <c r="V42" s="697">
        <v>109687.37</v>
      </c>
      <c r="W42" s="697">
        <v>52746.01</v>
      </c>
      <c r="X42" s="698">
        <v>0</v>
      </c>
      <c r="Y42" s="698">
        <v>114</v>
      </c>
      <c r="Z42" s="698">
        <v>46</v>
      </c>
    </row>
    <row r="43" spans="1:26">
      <c r="A43" s="699" t="s">
        <v>545</v>
      </c>
      <c r="B43" s="699" t="s">
        <v>178</v>
      </c>
      <c r="C43" s="699" t="s">
        <v>546</v>
      </c>
      <c r="D43" s="699" t="s">
        <v>391</v>
      </c>
      <c r="E43" s="699" t="s">
        <v>377</v>
      </c>
      <c r="F43" s="699" t="s">
        <v>378</v>
      </c>
      <c r="G43" s="699" t="s">
        <v>379</v>
      </c>
      <c r="H43" s="699" t="s">
        <v>380</v>
      </c>
      <c r="I43" s="699" t="s">
        <v>381</v>
      </c>
      <c r="J43" s="699" t="s">
        <v>382</v>
      </c>
      <c r="K43" s="700" t="s">
        <v>430</v>
      </c>
      <c r="L43" s="700" t="s">
        <v>547</v>
      </c>
      <c r="M43" s="700" t="s">
        <v>548</v>
      </c>
      <c r="N43" s="699" t="s">
        <v>549</v>
      </c>
      <c r="O43" s="699" t="s">
        <v>387</v>
      </c>
      <c r="P43" s="701">
        <v>6.18</v>
      </c>
      <c r="Q43" s="699" t="s">
        <v>412</v>
      </c>
      <c r="R43" s="702">
        <v>34239.949999999997</v>
      </c>
      <c r="S43" s="702">
        <v>15089.32</v>
      </c>
      <c r="T43" s="702">
        <v>49329.27</v>
      </c>
      <c r="U43" s="702">
        <v>75715.179999999993</v>
      </c>
      <c r="V43" s="702">
        <v>75807.179999999993</v>
      </c>
      <c r="W43" s="702">
        <v>52242.07</v>
      </c>
      <c r="X43" s="703">
        <v>0</v>
      </c>
      <c r="Y43" s="703">
        <v>312</v>
      </c>
      <c r="Z43" s="703">
        <v>55</v>
      </c>
    </row>
    <row r="44" spans="1:26">
      <c r="A44" s="694" t="s">
        <v>550</v>
      </c>
      <c r="B44" s="694" t="s">
        <v>179</v>
      </c>
      <c r="C44" s="694" t="s">
        <v>551</v>
      </c>
      <c r="D44" s="694" t="s">
        <v>376</v>
      </c>
      <c r="E44" s="694" t="s">
        <v>377</v>
      </c>
      <c r="F44" s="694" t="s">
        <v>378</v>
      </c>
      <c r="G44" s="694" t="s">
        <v>379</v>
      </c>
      <c r="H44" s="694" t="s">
        <v>380</v>
      </c>
      <c r="I44" s="694" t="s">
        <v>381</v>
      </c>
      <c r="J44" s="694" t="s">
        <v>382</v>
      </c>
      <c r="K44" s="695" t="s">
        <v>408</v>
      </c>
      <c r="L44" s="695" t="s">
        <v>483</v>
      </c>
      <c r="M44" s="695" t="s">
        <v>552</v>
      </c>
      <c r="N44" s="694" t="s">
        <v>459</v>
      </c>
      <c r="O44" s="694" t="s">
        <v>387</v>
      </c>
      <c r="P44" s="696">
        <v>15.09</v>
      </c>
      <c r="Q44" s="694" t="s">
        <v>388</v>
      </c>
      <c r="R44" s="697">
        <v>12076.25</v>
      </c>
      <c r="S44" s="697">
        <v>37234.43</v>
      </c>
      <c r="T44" s="697">
        <v>49310.68</v>
      </c>
      <c r="U44" s="697">
        <v>75758.55</v>
      </c>
      <c r="V44" s="697">
        <v>75758.55</v>
      </c>
      <c r="W44" s="697">
        <v>55442.04</v>
      </c>
      <c r="X44" s="698">
        <v>0</v>
      </c>
      <c r="Y44" s="698">
        <v>112</v>
      </c>
      <c r="Z44" s="698">
        <v>27</v>
      </c>
    </row>
    <row r="45" spans="1:26" ht="25.5">
      <c r="A45" s="699" t="s">
        <v>553</v>
      </c>
      <c r="B45" s="699" t="s">
        <v>180</v>
      </c>
      <c r="C45" s="699" t="s">
        <v>554</v>
      </c>
      <c r="D45" s="699" t="s">
        <v>391</v>
      </c>
      <c r="E45" s="699" t="s">
        <v>377</v>
      </c>
      <c r="F45" s="699" t="s">
        <v>378</v>
      </c>
      <c r="G45" s="699" t="s">
        <v>379</v>
      </c>
      <c r="H45" s="699" t="s">
        <v>380</v>
      </c>
      <c r="I45" s="699" t="s">
        <v>381</v>
      </c>
      <c r="J45" s="699" t="s">
        <v>382</v>
      </c>
      <c r="K45" s="700" t="s">
        <v>499</v>
      </c>
      <c r="L45" s="700" t="s">
        <v>555</v>
      </c>
      <c r="M45" s="700" t="s">
        <v>556</v>
      </c>
      <c r="N45" s="699" t="s">
        <v>443</v>
      </c>
      <c r="O45" s="699" t="s">
        <v>387</v>
      </c>
      <c r="P45" s="701">
        <v>1.41</v>
      </c>
      <c r="Q45" s="699" t="s">
        <v>434</v>
      </c>
      <c r="R45" s="702">
        <v>47214.2</v>
      </c>
      <c r="S45" s="702">
        <v>1465.87</v>
      </c>
      <c r="T45" s="702">
        <v>48680.07</v>
      </c>
      <c r="U45" s="702">
        <v>108221.37</v>
      </c>
      <c r="V45" s="702">
        <v>107914.37</v>
      </c>
      <c r="W45" s="702">
        <v>51585.18</v>
      </c>
      <c r="X45" s="703">
        <v>0</v>
      </c>
      <c r="Y45" s="703">
        <v>114</v>
      </c>
      <c r="Z45" s="703">
        <v>32</v>
      </c>
    </row>
    <row r="46" spans="1:26">
      <c r="A46" s="694" t="s">
        <v>557</v>
      </c>
      <c r="B46" s="694" t="s">
        <v>181</v>
      </c>
      <c r="C46" s="694" t="s">
        <v>558</v>
      </c>
      <c r="D46" s="694" t="s">
        <v>428</v>
      </c>
      <c r="E46" s="694" t="s">
        <v>377</v>
      </c>
      <c r="F46" s="694" t="s">
        <v>378</v>
      </c>
      <c r="G46" s="694" t="s">
        <v>392</v>
      </c>
      <c r="H46" s="694" t="s">
        <v>393</v>
      </c>
      <c r="I46" s="694" t="s">
        <v>381</v>
      </c>
      <c r="J46" s="694" t="s">
        <v>382</v>
      </c>
      <c r="K46" s="695" t="s">
        <v>430</v>
      </c>
      <c r="L46" s="695" t="s">
        <v>431</v>
      </c>
      <c r="M46" s="695" t="s">
        <v>432</v>
      </c>
      <c r="N46" s="694" t="s">
        <v>559</v>
      </c>
      <c r="O46" s="694" t="s">
        <v>387</v>
      </c>
      <c r="P46" s="696">
        <v>3.71</v>
      </c>
      <c r="Q46" s="694" t="s">
        <v>412</v>
      </c>
      <c r="R46" s="697">
        <v>45046.61</v>
      </c>
      <c r="S46" s="697">
        <v>2590.0300000000002</v>
      </c>
      <c r="T46" s="697">
        <v>47636.639999999999</v>
      </c>
      <c r="U46" s="697">
        <v>97069.13</v>
      </c>
      <c r="V46" s="697">
        <v>90594.47</v>
      </c>
      <c r="W46" s="697">
        <v>51246.22</v>
      </c>
      <c r="X46" s="698">
        <v>0</v>
      </c>
      <c r="Y46" s="698">
        <v>144</v>
      </c>
      <c r="Z46" s="698">
        <v>64</v>
      </c>
    </row>
    <row r="47" spans="1:26">
      <c r="A47" s="699" t="s">
        <v>560</v>
      </c>
      <c r="B47" s="699" t="s">
        <v>182</v>
      </c>
      <c r="C47" s="699" t="s">
        <v>561</v>
      </c>
      <c r="D47" s="699" t="s">
        <v>376</v>
      </c>
      <c r="E47" s="699" t="s">
        <v>377</v>
      </c>
      <c r="F47" s="699" t="s">
        <v>476</v>
      </c>
      <c r="G47" s="699" t="s">
        <v>477</v>
      </c>
      <c r="H47" s="699" t="s">
        <v>380</v>
      </c>
      <c r="I47" s="699" t="s">
        <v>498</v>
      </c>
      <c r="J47" s="699" t="s">
        <v>382</v>
      </c>
      <c r="K47" s="700" t="s">
        <v>383</v>
      </c>
      <c r="L47" s="700" t="s">
        <v>562</v>
      </c>
      <c r="M47" s="700" t="s">
        <v>563</v>
      </c>
      <c r="N47" s="699" t="s">
        <v>506</v>
      </c>
      <c r="O47" s="699" t="s">
        <v>387</v>
      </c>
      <c r="P47" s="701">
        <v>1.38</v>
      </c>
      <c r="Q47" s="699" t="s">
        <v>434</v>
      </c>
      <c r="R47" s="702">
        <v>46787.08</v>
      </c>
      <c r="S47" s="702">
        <v>609.32000000000005</v>
      </c>
      <c r="T47" s="702">
        <v>47396.4</v>
      </c>
      <c r="U47" s="702">
        <v>87512.55</v>
      </c>
      <c r="V47" s="702">
        <v>87512.55</v>
      </c>
      <c r="W47" s="702">
        <v>50416.160000000003</v>
      </c>
      <c r="X47" s="703">
        <v>0</v>
      </c>
      <c r="Y47" s="703">
        <v>198</v>
      </c>
      <c r="Z47" s="703">
        <v>19</v>
      </c>
    </row>
    <row r="48" spans="1:26">
      <c r="A48" s="694" t="s">
        <v>564</v>
      </c>
      <c r="B48" s="694" t="s">
        <v>183</v>
      </c>
      <c r="C48" s="694" t="s">
        <v>565</v>
      </c>
      <c r="D48" s="694" t="s">
        <v>391</v>
      </c>
      <c r="E48" s="694" t="s">
        <v>377</v>
      </c>
      <c r="F48" s="694" t="s">
        <v>378</v>
      </c>
      <c r="G48" s="694" t="s">
        <v>379</v>
      </c>
      <c r="H48" s="694" t="s">
        <v>380</v>
      </c>
      <c r="I48" s="694" t="s">
        <v>400</v>
      </c>
      <c r="J48" s="694" t="s">
        <v>382</v>
      </c>
      <c r="K48" s="695" t="s">
        <v>566</v>
      </c>
      <c r="L48" s="695" t="s">
        <v>567</v>
      </c>
      <c r="M48" s="695" t="s">
        <v>568</v>
      </c>
      <c r="N48" s="694" t="s">
        <v>569</v>
      </c>
      <c r="O48" s="694" t="s">
        <v>491</v>
      </c>
      <c r="P48" s="696">
        <v>1.04</v>
      </c>
      <c r="Q48" s="694" t="s">
        <v>434</v>
      </c>
      <c r="R48" s="697">
        <v>46824.32</v>
      </c>
      <c r="S48" s="697">
        <v>296.52</v>
      </c>
      <c r="T48" s="697">
        <v>47120.84</v>
      </c>
      <c r="U48" s="697">
        <v>74115.34</v>
      </c>
      <c r="V48" s="697">
        <v>73863.820000000007</v>
      </c>
      <c r="W48" s="697">
        <v>49498.76</v>
      </c>
      <c r="X48" s="698">
        <v>1</v>
      </c>
      <c r="Y48" s="698">
        <v>107</v>
      </c>
      <c r="Z48" s="698">
        <v>5</v>
      </c>
    </row>
    <row r="49" spans="1:26">
      <c r="A49" s="699" t="s">
        <v>570</v>
      </c>
      <c r="B49" s="699" t="s">
        <v>184</v>
      </c>
      <c r="C49" s="699" t="s">
        <v>571</v>
      </c>
      <c r="D49" s="699" t="s">
        <v>376</v>
      </c>
      <c r="E49" s="699" t="s">
        <v>377</v>
      </c>
      <c r="F49" s="699" t="s">
        <v>378</v>
      </c>
      <c r="G49" s="699" t="s">
        <v>379</v>
      </c>
      <c r="H49" s="699" t="s">
        <v>380</v>
      </c>
      <c r="I49" s="699" t="s">
        <v>429</v>
      </c>
      <c r="J49" s="699" t="s">
        <v>382</v>
      </c>
      <c r="K49" s="700" t="s">
        <v>394</v>
      </c>
      <c r="L49" s="700" t="s">
        <v>542</v>
      </c>
      <c r="M49" s="700" t="s">
        <v>572</v>
      </c>
      <c r="N49" s="699" t="s">
        <v>449</v>
      </c>
      <c r="O49" s="699" t="s">
        <v>387</v>
      </c>
      <c r="P49" s="701">
        <v>1.63</v>
      </c>
      <c r="Q49" s="699" t="s">
        <v>434</v>
      </c>
      <c r="R49" s="702">
        <v>45640.3</v>
      </c>
      <c r="S49" s="702">
        <v>1003.87</v>
      </c>
      <c r="T49" s="702">
        <v>46644.17</v>
      </c>
      <c r="U49" s="702">
        <v>64038.91</v>
      </c>
      <c r="V49" s="702">
        <v>64038.91</v>
      </c>
      <c r="W49" s="702">
        <v>52352.65</v>
      </c>
      <c r="X49" s="703">
        <v>0</v>
      </c>
      <c r="Y49" s="703">
        <v>35</v>
      </c>
      <c r="Z49" s="703">
        <v>17</v>
      </c>
    </row>
    <row r="50" spans="1:26">
      <c r="A50" s="694" t="s">
        <v>573</v>
      </c>
      <c r="B50" s="694" t="s">
        <v>185</v>
      </c>
      <c r="C50" s="694" t="s">
        <v>574</v>
      </c>
      <c r="D50" s="694" t="s">
        <v>376</v>
      </c>
      <c r="E50" s="694" t="s">
        <v>377</v>
      </c>
      <c r="F50" s="694" t="s">
        <v>378</v>
      </c>
      <c r="G50" s="694" t="s">
        <v>379</v>
      </c>
      <c r="H50" s="694" t="s">
        <v>380</v>
      </c>
      <c r="I50" s="694" t="s">
        <v>381</v>
      </c>
      <c r="J50" s="694" t="s">
        <v>382</v>
      </c>
      <c r="K50" s="695" t="s">
        <v>408</v>
      </c>
      <c r="L50" s="695" t="s">
        <v>575</v>
      </c>
      <c r="M50" s="695" t="s">
        <v>576</v>
      </c>
      <c r="N50" s="694" t="s">
        <v>577</v>
      </c>
      <c r="O50" s="694" t="s">
        <v>387</v>
      </c>
      <c r="P50" s="696">
        <v>28.19</v>
      </c>
      <c r="Q50" s="694" t="s">
        <v>388</v>
      </c>
      <c r="R50" s="697">
        <v>4883.1899999999996</v>
      </c>
      <c r="S50" s="697">
        <v>41357.17</v>
      </c>
      <c r="T50" s="697">
        <v>46240.36</v>
      </c>
      <c r="U50" s="697">
        <v>92871.31</v>
      </c>
      <c r="V50" s="697">
        <v>92871.31</v>
      </c>
      <c r="W50" s="697">
        <v>69225.11</v>
      </c>
      <c r="X50" s="698">
        <v>0</v>
      </c>
      <c r="Y50" s="698">
        <v>40</v>
      </c>
      <c r="Z50" s="698">
        <v>47</v>
      </c>
    </row>
    <row r="51" spans="1:26">
      <c r="A51" s="699" t="s">
        <v>578</v>
      </c>
      <c r="B51" s="699" t="s">
        <v>186</v>
      </c>
      <c r="C51" s="699" t="s">
        <v>579</v>
      </c>
      <c r="D51" s="699" t="s">
        <v>428</v>
      </c>
      <c r="E51" s="699" t="s">
        <v>377</v>
      </c>
      <c r="F51" s="699" t="s">
        <v>378</v>
      </c>
      <c r="G51" s="699" t="s">
        <v>379</v>
      </c>
      <c r="H51" s="699" t="s">
        <v>380</v>
      </c>
      <c r="I51" s="699" t="s">
        <v>400</v>
      </c>
      <c r="J51" s="699" t="s">
        <v>382</v>
      </c>
      <c r="K51" s="700" t="s">
        <v>430</v>
      </c>
      <c r="L51" s="700" t="s">
        <v>580</v>
      </c>
      <c r="M51" s="700" t="s">
        <v>581</v>
      </c>
      <c r="N51" s="699" t="s">
        <v>582</v>
      </c>
      <c r="O51" s="699" t="s">
        <v>387</v>
      </c>
      <c r="P51" s="701">
        <v>1.1599999999999999</v>
      </c>
      <c r="Q51" s="699" t="s">
        <v>434</v>
      </c>
      <c r="R51" s="702">
        <v>45464.88</v>
      </c>
      <c r="S51" s="702">
        <v>277.01</v>
      </c>
      <c r="T51" s="702">
        <v>45741.89</v>
      </c>
      <c r="U51" s="702">
        <v>49419.51</v>
      </c>
      <c r="V51" s="702">
        <v>49576.51</v>
      </c>
      <c r="W51" s="702">
        <v>47324.74</v>
      </c>
      <c r="X51" s="703">
        <v>0</v>
      </c>
      <c r="Y51" s="703">
        <v>54</v>
      </c>
      <c r="Z51" s="703">
        <v>10</v>
      </c>
    </row>
    <row r="52" spans="1:26">
      <c r="A52" s="694" t="s">
        <v>583</v>
      </c>
      <c r="B52" s="694" t="s">
        <v>187</v>
      </c>
      <c r="C52" s="694" t="s">
        <v>584</v>
      </c>
      <c r="D52" s="694" t="s">
        <v>391</v>
      </c>
      <c r="E52" s="694" t="s">
        <v>377</v>
      </c>
      <c r="F52" s="694" t="s">
        <v>378</v>
      </c>
      <c r="G52" s="694" t="s">
        <v>392</v>
      </c>
      <c r="H52" s="694" t="s">
        <v>393</v>
      </c>
      <c r="I52" s="694" t="s">
        <v>381</v>
      </c>
      <c r="J52" s="694" t="s">
        <v>382</v>
      </c>
      <c r="K52" s="695" t="s">
        <v>585</v>
      </c>
      <c r="L52" s="695" t="s">
        <v>586</v>
      </c>
      <c r="M52" s="695" t="s">
        <v>587</v>
      </c>
      <c r="N52" s="694" t="s">
        <v>588</v>
      </c>
      <c r="O52" s="694" t="s">
        <v>515</v>
      </c>
      <c r="P52" s="696">
        <v>1.04</v>
      </c>
      <c r="Q52" s="694" t="s">
        <v>434</v>
      </c>
      <c r="R52" s="697">
        <v>45055.23</v>
      </c>
      <c r="S52" s="697">
        <v>165.87</v>
      </c>
      <c r="T52" s="697">
        <v>45221.1</v>
      </c>
      <c r="U52" s="697">
        <v>71991.25</v>
      </c>
      <c r="V52" s="697">
        <v>71102.25</v>
      </c>
      <c r="W52" s="697">
        <v>46996.77</v>
      </c>
      <c r="X52" s="698">
        <v>2</v>
      </c>
      <c r="Y52" s="698">
        <v>123</v>
      </c>
      <c r="Z52" s="698">
        <v>12</v>
      </c>
    </row>
    <row r="53" spans="1:26">
      <c r="A53" s="699" t="s">
        <v>589</v>
      </c>
      <c r="B53" s="699" t="s">
        <v>188</v>
      </c>
      <c r="C53" s="699" t="s">
        <v>590</v>
      </c>
      <c r="D53" s="699" t="s">
        <v>376</v>
      </c>
      <c r="E53" s="699" t="s">
        <v>377</v>
      </c>
      <c r="F53" s="699" t="s">
        <v>378</v>
      </c>
      <c r="G53" s="699" t="s">
        <v>379</v>
      </c>
      <c r="H53" s="699" t="s">
        <v>380</v>
      </c>
      <c r="I53" s="699" t="s">
        <v>381</v>
      </c>
      <c r="J53" s="699" t="s">
        <v>401</v>
      </c>
      <c r="K53" s="700" t="s">
        <v>408</v>
      </c>
      <c r="L53" s="700" t="s">
        <v>483</v>
      </c>
      <c r="M53" s="700" t="s">
        <v>591</v>
      </c>
      <c r="N53" s="699" t="s">
        <v>592</v>
      </c>
      <c r="O53" s="699" t="s">
        <v>491</v>
      </c>
      <c r="P53" s="701"/>
      <c r="Q53" s="699" t="s">
        <v>46</v>
      </c>
      <c r="R53" s="702">
        <v>43228.42</v>
      </c>
      <c r="S53" s="702">
        <v>1033.98</v>
      </c>
      <c r="T53" s="702">
        <v>44262.400000000001</v>
      </c>
      <c r="U53" s="702">
        <v>64523.53</v>
      </c>
      <c r="V53" s="702">
        <v>64385.53</v>
      </c>
      <c r="W53" s="702">
        <v>46414.95</v>
      </c>
      <c r="X53" s="703">
        <v>0</v>
      </c>
      <c r="Y53" s="703">
        <v>127</v>
      </c>
      <c r="Z53" s="703">
        <v>58</v>
      </c>
    </row>
    <row r="54" spans="1:26">
      <c r="A54" s="694" t="s">
        <v>593</v>
      </c>
      <c r="B54" s="694" t="s">
        <v>189</v>
      </c>
      <c r="C54" s="694" t="s">
        <v>594</v>
      </c>
      <c r="D54" s="694" t="s">
        <v>391</v>
      </c>
      <c r="E54" s="694" t="s">
        <v>377</v>
      </c>
      <c r="F54" s="694" t="s">
        <v>378</v>
      </c>
      <c r="G54" s="694" t="s">
        <v>379</v>
      </c>
      <c r="H54" s="694" t="s">
        <v>380</v>
      </c>
      <c r="I54" s="694" t="s">
        <v>381</v>
      </c>
      <c r="J54" s="694" t="s">
        <v>382</v>
      </c>
      <c r="K54" s="695" t="s">
        <v>595</v>
      </c>
      <c r="L54" s="695" t="s">
        <v>596</v>
      </c>
      <c r="M54" s="695" t="s">
        <v>597</v>
      </c>
      <c r="N54" s="694" t="s">
        <v>598</v>
      </c>
      <c r="O54" s="694" t="s">
        <v>387</v>
      </c>
      <c r="P54" s="696">
        <v>1.97</v>
      </c>
      <c r="Q54" s="694" t="s">
        <v>434</v>
      </c>
      <c r="R54" s="697">
        <v>41887.769999999997</v>
      </c>
      <c r="S54" s="697">
        <v>726.1</v>
      </c>
      <c r="T54" s="697">
        <v>42613.87</v>
      </c>
      <c r="U54" s="697">
        <v>135433.63</v>
      </c>
      <c r="V54" s="697">
        <v>121280.73</v>
      </c>
      <c r="W54" s="697">
        <v>46644.15</v>
      </c>
      <c r="X54" s="698">
        <v>0</v>
      </c>
      <c r="Y54" s="698">
        <v>126</v>
      </c>
      <c r="Z54" s="698">
        <v>42</v>
      </c>
    </row>
    <row r="55" spans="1:26">
      <c r="A55" s="699" t="s">
        <v>599</v>
      </c>
      <c r="B55" s="699" t="s">
        <v>190</v>
      </c>
      <c r="C55" s="699" t="s">
        <v>600</v>
      </c>
      <c r="D55" s="699" t="s">
        <v>376</v>
      </c>
      <c r="E55" s="699" t="s">
        <v>377</v>
      </c>
      <c r="F55" s="699" t="s">
        <v>378</v>
      </c>
      <c r="G55" s="699" t="s">
        <v>392</v>
      </c>
      <c r="H55" s="699" t="s">
        <v>393</v>
      </c>
      <c r="I55" s="699" t="s">
        <v>381</v>
      </c>
      <c r="J55" s="699" t="s">
        <v>382</v>
      </c>
      <c r="K55" s="700" t="s">
        <v>452</v>
      </c>
      <c r="L55" s="700" t="s">
        <v>601</v>
      </c>
      <c r="M55" s="700" t="s">
        <v>602</v>
      </c>
      <c r="N55" s="699" t="s">
        <v>603</v>
      </c>
      <c r="O55" s="699" t="s">
        <v>515</v>
      </c>
      <c r="P55" s="701">
        <v>4.13</v>
      </c>
      <c r="Q55" s="699" t="s">
        <v>412</v>
      </c>
      <c r="R55" s="702">
        <v>39703.19</v>
      </c>
      <c r="S55" s="702">
        <v>2499.23</v>
      </c>
      <c r="T55" s="702">
        <v>42202.42</v>
      </c>
      <c r="U55" s="702">
        <v>59446.48</v>
      </c>
      <c r="V55" s="702">
        <v>59446.48</v>
      </c>
      <c r="W55" s="702">
        <v>44502.42</v>
      </c>
      <c r="X55" s="703">
        <v>1</v>
      </c>
      <c r="Y55" s="703">
        <v>107</v>
      </c>
      <c r="Z55" s="703">
        <v>8</v>
      </c>
    </row>
    <row r="56" spans="1:26">
      <c r="A56" s="694" t="s">
        <v>604</v>
      </c>
      <c r="B56" s="694" t="s">
        <v>191</v>
      </c>
      <c r="C56" s="694" t="s">
        <v>605</v>
      </c>
      <c r="D56" s="694" t="s">
        <v>428</v>
      </c>
      <c r="E56" s="694" t="s">
        <v>377</v>
      </c>
      <c r="F56" s="694" t="s">
        <v>378</v>
      </c>
      <c r="G56" s="694" t="s">
        <v>379</v>
      </c>
      <c r="H56" s="694" t="s">
        <v>380</v>
      </c>
      <c r="I56" s="694" t="s">
        <v>381</v>
      </c>
      <c r="J56" s="694" t="s">
        <v>382</v>
      </c>
      <c r="K56" s="695" t="s">
        <v>585</v>
      </c>
      <c r="L56" s="695" t="s">
        <v>606</v>
      </c>
      <c r="M56" s="695" t="s">
        <v>607</v>
      </c>
      <c r="N56" s="694" t="s">
        <v>608</v>
      </c>
      <c r="O56" s="694" t="s">
        <v>387</v>
      </c>
      <c r="P56" s="696">
        <v>6.37</v>
      </c>
      <c r="Q56" s="694" t="s">
        <v>412</v>
      </c>
      <c r="R56" s="697">
        <v>40475.72</v>
      </c>
      <c r="S56" s="697">
        <v>552.49</v>
      </c>
      <c r="T56" s="697">
        <v>41028.21</v>
      </c>
      <c r="U56" s="697">
        <v>88353.07</v>
      </c>
      <c r="V56" s="697">
        <v>88353.07</v>
      </c>
      <c r="W56" s="697">
        <v>43335.89</v>
      </c>
      <c r="X56" s="698">
        <v>1</v>
      </c>
      <c r="Y56" s="698">
        <v>91</v>
      </c>
      <c r="Z56" s="698">
        <v>18</v>
      </c>
    </row>
    <row r="57" spans="1:26">
      <c r="A57" s="699" t="s">
        <v>609</v>
      </c>
      <c r="B57" s="699" t="s">
        <v>192</v>
      </c>
      <c r="C57" s="699" t="s">
        <v>610</v>
      </c>
      <c r="D57" s="699" t="s">
        <v>376</v>
      </c>
      <c r="E57" s="699" t="s">
        <v>377</v>
      </c>
      <c r="F57" s="699" t="s">
        <v>476</v>
      </c>
      <c r="G57" s="699" t="s">
        <v>477</v>
      </c>
      <c r="H57" s="699" t="s">
        <v>380</v>
      </c>
      <c r="I57" s="699" t="s">
        <v>498</v>
      </c>
      <c r="J57" s="699" t="s">
        <v>382</v>
      </c>
      <c r="K57" s="700" t="s">
        <v>611</v>
      </c>
      <c r="L57" s="700" t="s">
        <v>612</v>
      </c>
      <c r="M57" s="700" t="s">
        <v>613</v>
      </c>
      <c r="N57" s="699" t="s">
        <v>614</v>
      </c>
      <c r="O57" s="699" t="s">
        <v>515</v>
      </c>
      <c r="P57" s="701">
        <v>16.829999999999998</v>
      </c>
      <c r="Q57" s="699" t="s">
        <v>388</v>
      </c>
      <c r="R57" s="702">
        <v>274.60000000000002</v>
      </c>
      <c r="S57" s="702">
        <v>40538.699999999997</v>
      </c>
      <c r="T57" s="702">
        <v>40813.300000000003</v>
      </c>
      <c r="U57" s="702">
        <v>50115.56</v>
      </c>
      <c r="V57" s="702">
        <v>50115.56</v>
      </c>
      <c r="W57" s="702">
        <v>41021.26</v>
      </c>
      <c r="X57" s="703">
        <v>0</v>
      </c>
      <c r="Y57" s="703">
        <v>2</v>
      </c>
      <c r="Z57" s="703">
        <v>5</v>
      </c>
    </row>
    <row r="58" spans="1:26">
      <c r="A58" s="694" t="s">
        <v>615</v>
      </c>
      <c r="B58" s="694" t="s">
        <v>193</v>
      </c>
      <c r="C58" s="694" t="s">
        <v>616</v>
      </c>
      <c r="D58" s="694" t="s">
        <v>391</v>
      </c>
      <c r="E58" s="694" t="s">
        <v>377</v>
      </c>
      <c r="F58" s="694" t="s">
        <v>378</v>
      </c>
      <c r="G58" s="694" t="s">
        <v>379</v>
      </c>
      <c r="H58" s="694" t="s">
        <v>380</v>
      </c>
      <c r="I58" s="694" t="s">
        <v>381</v>
      </c>
      <c r="J58" s="694" t="s">
        <v>382</v>
      </c>
      <c r="K58" s="695" t="s">
        <v>383</v>
      </c>
      <c r="L58" s="695" t="s">
        <v>617</v>
      </c>
      <c r="M58" s="695" t="s">
        <v>618</v>
      </c>
      <c r="N58" s="694" t="s">
        <v>619</v>
      </c>
      <c r="O58" s="694" t="s">
        <v>387</v>
      </c>
      <c r="P58" s="696">
        <v>4.1100000000000003</v>
      </c>
      <c r="Q58" s="694" t="s">
        <v>412</v>
      </c>
      <c r="R58" s="697">
        <v>35592.54</v>
      </c>
      <c r="S58" s="697">
        <v>4908.1499999999996</v>
      </c>
      <c r="T58" s="697">
        <v>40500.69</v>
      </c>
      <c r="U58" s="697">
        <v>62126.9</v>
      </c>
      <c r="V58" s="697">
        <v>62126.9</v>
      </c>
      <c r="W58" s="697">
        <v>44413.06</v>
      </c>
      <c r="X58" s="698">
        <v>1</v>
      </c>
      <c r="Y58" s="698">
        <v>233</v>
      </c>
      <c r="Z58" s="698">
        <v>46</v>
      </c>
    </row>
    <row r="59" spans="1:26">
      <c r="A59" s="699" t="s">
        <v>620</v>
      </c>
      <c r="B59" s="699" t="s">
        <v>194</v>
      </c>
      <c r="C59" s="699" t="s">
        <v>621</v>
      </c>
      <c r="D59" s="699" t="s">
        <v>376</v>
      </c>
      <c r="E59" s="699" t="s">
        <v>377</v>
      </c>
      <c r="F59" s="699" t="s">
        <v>378</v>
      </c>
      <c r="G59" s="699" t="s">
        <v>379</v>
      </c>
      <c r="H59" s="699" t="s">
        <v>380</v>
      </c>
      <c r="I59" s="699" t="s">
        <v>429</v>
      </c>
      <c r="J59" s="699" t="s">
        <v>382</v>
      </c>
      <c r="K59" s="700" t="s">
        <v>383</v>
      </c>
      <c r="L59" s="700" t="s">
        <v>488</v>
      </c>
      <c r="M59" s="700" t="s">
        <v>622</v>
      </c>
      <c r="N59" s="699" t="s">
        <v>623</v>
      </c>
      <c r="O59" s="699" t="s">
        <v>515</v>
      </c>
      <c r="P59" s="701">
        <v>7.23</v>
      </c>
      <c r="Q59" s="699" t="s">
        <v>412</v>
      </c>
      <c r="R59" s="702">
        <v>40065.769999999997</v>
      </c>
      <c r="S59" s="702">
        <v>116.52</v>
      </c>
      <c r="T59" s="702">
        <v>40182.29</v>
      </c>
      <c r="U59" s="702">
        <v>71304.649999999994</v>
      </c>
      <c r="V59" s="702">
        <v>71304.649999999994</v>
      </c>
      <c r="W59" s="702">
        <v>45503.6</v>
      </c>
      <c r="X59" s="703">
        <v>0</v>
      </c>
      <c r="Y59" s="703">
        <v>61</v>
      </c>
      <c r="Z59" s="703">
        <v>8</v>
      </c>
    </row>
    <row r="60" spans="1:26">
      <c r="A60" s="694" t="s">
        <v>624</v>
      </c>
      <c r="B60" s="694" t="s">
        <v>195</v>
      </c>
      <c r="C60" s="694" t="s">
        <v>625</v>
      </c>
      <c r="D60" s="694" t="s">
        <v>376</v>
      </c>
      <c r="E60" s="694" t="s">
        <v>377</v>
      </c>
      <c r="F60" s="694" t="s">
        <v>378</v>
      </c>
      <c r="G60" s="694" t="s">
        <v>379</v>
      </c>
      <c r="H60" s="694" t="s">
        <v>380</v>
      </c>
      <c r="I60" s="694" t="s">
        <v>381</v>
      </c>
      <c r="J60" s="694" t="s">
        <v>382</v>
      </c>
      <c r="K60" s="695" t="s">
        <v>626</v>
      </c>
      <c r="L60" s="695" t="s">
        <v>627</v>
      </c>
      <c r="M60" s="695" t="s">
        <v>628</v>
      </c>
      <c r="N60" s="694" t="s">
        <v>629</v>
      </c>
      <c r="O60" s="694" t="s">
        <v>387</v>
      </c>
      <c r="P60" s="696">
        <v>4.9400000000000004</v>
      </c>
      <c r="Q60" s="694" t="s">
        <v>412</v>
      </c>
      <c r="R60" s="697">
        <v>34363.53</v>
      </c>
      <c r="S60" s="697">
        <v>5104.96</v>
      </c>
      <c r="T60" s="697">
        <v>39468.49</v>
      </c>
      <c r="U60" s="697">
        <v>70483.899999999994</v>
      </c>
      <c r="V60" s="697">
        <v>70483.899999999994</v>
      </c>
      <c r="W60" s="697">
        <v>40074.06</v>
      </c>
      <c r="X60" s="698">
        <v>1</v>
      </c>
      <c r="Y60" s="698">
        <v>94</v>
      </c>
      <c r="Z60" s="698">
        <v>35</v>
      </c>
    </row>
    <row r="61" spans="1:26">
      <c r="A61" s="699" t="s">
        <v>630</v>
      </c>
      <c r="B61" s="699" t="s">
        <v>196</v>
      </c>
      <c r="C61" s="699" t="s">
        <v>631</v>
      </c>
      <c r="D61" s="699" t="s">
        <v>376</v>
      </c>
      <c r="E61" s="699" t="s">
        <v>377</v>
      </c>
      <c r="F61" s="699" t="s">
        <v>476</v>
      </c>
      <c r="G61" s="699" t="s">
        <v>477</v>
      </c>
      <c r="H61" s="699" t="s">
        <v>380</v>
      </c>
      <c r="I61" s="699" t="s">
        <v>429</v>
      </c>
      <c r="J61" s="699" t="s">
        <v>382</v>
      </c>
      <c r="K61" s="700" t="s">
        <v>430</v>
      </c>
      <c r="L61" s="700" t="s">
        <v>431</v>
      </c>
      <c r="M61" s="700" t="s">
        <v>462</v>
      </c>
      <c r="N61" s="699" t="s">
        <v>632</v>
      </c>
      <c r="O61" s="699" t="s">
        <v>387</v>
      </c>
      <c r="P61" s="701"/>
      <c r="Q61" s="699" t="s">
        <v>46</v>
      </c>
      <c r="R61" s="702">
        <v>25292.43</v>
      </c>
      <c r="S61" s="702">
        <v>13883.62</v>
      </c>
      <c r="T61" s="702">
        <v>39176.050000000003</v>
      </c>
      <c r="U61" s="702">
        <v>67760.2</v>
      </c>
      <c r="V61" s="702">
        <v>67059.199999999997</v>
      </c>
      <c r="W61" s="702">
        <v>46326.7</v>
      </c>
      <c r="X61" s="703">
        <v>1</v>
      </c>
      <c r="Y61" s="703">
        <v>73</v>
      </c>
      <c r="Z61" s="703">
        <v>85</v>
      </c>
    </row>
    <row r="62" spans="1:26">
      <c r="A62" s="694" t="s">
        <v>633</v>
      </c>
      <c r="B62" s="694" t="s">
        <v>197</v>
      </c>
      <c r="C62" s="694" t="s">
        <v>634</v>
      </c>
      <c r="D62" s="694" t="s">
        <v>376</v>
      </c>
      <c r="E62" s="694" t="s">
        <v>377</v>
      </c>
      <c r="F62" s="694" t="s">
        <v>378</v>
      </c>
      <c r="G62" s="694" t="s">
        <v>635</v>
      </c>
      <c r="H62" s="694" t="s">
        <v>636</v>
      </c>
      <c r="I62" s="694" t="s">
        <v>381</v>
      </c>
      <c r="J62" s="694" t="s">
        <v>382</v>
      </c>
      <c r="K62" s="695" t="s">
        <v>408</v>
      </c>
      <c r="L62" s="695" t="s">
        <v>637</v>
      </c>
      <c r="M62" s="695" t="s">
        <v>638</v>
      </c>
      <c r="N62" s="694" t="s">
        <v>639</v>
      </c>
      <c r="O62" s="694" t="s">
        <v>387</v>
      </c>
      <c r="P62" s="696">
        <v>18.27</v>
      </c>
      <c r="Q62" s="694" t="s">
        <v>388</v>
      </c>
      <c r="R62" s="697">
        <v>4751.0200000000004</v>
      </c>
      <c r="S62" s="697">
        <v>33978.300000000003</v>
      </c>
      <c r="T62" s="697">
        <v>38729.32</v>
      </c>
      <c r="U62" s="697">
        <v>66979.62</v>
      </c>
      <c r="V62" s="697">
        <v>64251.62</v>
      </c>
      <c r="W62" s="697">
        <v>46603.040000000001</v>
      </c>
      <c r="X62" s="698">
        <v>0</v>
      </c>
      <c r="Y62" s="698">
        <v>86</v>
      </c>
      <c r="Z62" s="698">
        <v>36</v>
      </c>
    </row>
    <row r="63" spans="1:26">
      <c r="A63" s="699" t="s">
        <v>640</v>
      </c>
      <c r="B63" s="699" t="s">
        <v>198</v>
      </c>
      <c r="C63" s="699" t="s">
        <v>641</v>
      </c>
      <c r="D63" s="699" t="s">
        <v>376</v>
      </c>
      <c r="E63" s="699" t="s">
        <v>377</v>
      </c>
      <c r="F63" s="699" t="s">
        <v>378</v>
      </c>
      <c r="G63" s="699" t="s">
        <v>379</v>
      </c>
      <c r="H63" s="699" t="s">
        <v>380</v>
      </c>
      <c r="I63" s="699" t="s">
        <v>381</v>
      </c>
      <c r="J63" s="699" t="s">
        <v>382</v>
      </c>
      <c r="K63" s="700" t="s">
        <v>626</v>
      </c>
      <c r="L63" s="700" t="s">
        <v>642</v>
      </c>
      <c r="M63" s="700" t="s">
        <v>643</v>
      </c>
      <c r="N63" s="699" t="s">
        <v>644</v>
      </c>
      <c r="O63" s="699" t="s">
        <v>387</v>
      </c>
      <c r="P63" s="701">
        <v>4.63</v>
      </c>
      <c r="Q63" s="699" t="s">
        <v>412</v>
      </c>
      <c r="R63" s="702">
        <v>22282.89</v>
      </c>
      <c r="S63" s="702">
        <v>16126.13</v>
      </c>
      <c r="T63" s="702">
        <v>38409.019999999997</v>
      </c>
      <c r="U63" s="702">
        <v>64706.66</v>
      </c>
      <c r="V63" s="702">
        <v>64706.66</v>
      </c>
      <c r="W63" s="702">
        <v>43018.38</v>
      </c>
      <c r="X63" s="703">
        <v>0</v>
      </c>
      <c r="Y63" s="703">
        <v>78</v>
      </c>
      <c r="Z63" s="703">
        <v>59</v>
      </c>
    </row>
    <row r="64" spans="1:26">
      <c r="A64" s="694" t="s">
        <v>645</v>
      </c>
      <c r="B64" s="694" t="s">
        <v>199</v>
      </c>
      <c r="C64" s="694" t="s">
        <v>646</v>
      </c>
      <c r="D64" s="694" t="s">
        <v>391</v>
      </c>
      <c r="E64" s="694" t="s">
        <v>377</v>
      </c>
      <c r="F64" s="694" t="s">
        <v>378</v>
      </c>
      <c r="G64" s="694" t="s">
        <v>379</v>
      </c>
      <c r="H64" s="694" t="s">
        <v>380</v>
      </c>
      <c r="I64" s="694" t="s">
        <v>429</v>
      </c>
      <c r="J64" s="694" t="s">
        <v>382</v>
      </c>
      <c r="K64" s="695" t="s">
        <v>421</v>
      </c>
      <c r="L64" s="695" t="s">
        <v>647</v>
      </c>
      <c r="M64" s="695" t="s">
        <v>648</v>
      </c>
      <c r="N64" s="694" t="s">
        <v>649</v>
      </c>
      <c r="O64" s="694" t="s">
        <v>387</v>
      </c>
      <c r="P64" s="696">
        <v>2.67</v>
      </c>
      <c r="Q64" s="694" t="s">
        <v>412</v>
      </c>
      <c r="R64" s="697">
        <v>36087.22</v>
      </c>
      <c r="S64" s="697">
        <v>1193.81</v>
      </c>
      <c r="T64" s="697">
        <v>37281.03</v>
      </c>
      <c r="U64" s="697">
        <v>65413</v>
      </c>
      <c r="V64" s="697">
        <v>65413</v>
      </c>
      <c r="W64" s="697">
        <v>41305.300000000003</v>
      </c>
      <c r="X64" s="698">
        <v>0</v>
      </c>
      <c r="Y64" s="698">
        <v>62</v>
      </c>
      <c r="Z64" s="698">
        <v>41</v>
      </c>
    </row>
    <row r="65" spans="1:26">
      <c r="A65" s="699" t="s">
        <v>650</v>
      </c>
      <c r="B65" s="699" t="s">
        <v>200</v>
      </c>
      <c r="C65" s="699" t="s">
        <v>651</v>
      </c>
      <c r="D65" s="699" t="s">
        <v>376</v>
      </c>
      <c r="E65" s="699" t="s">
        <v>377</v>
      </c>
      <c r="F65" s="699" t="s">
        <v>378</v>
      </c>
      <c r="G65" s="699" t="s">
        <v>379</v>
      </c>
      <c r="H65" s="699" t="s">
        <v>380</v>
      </c>
      <c r="I65" s="699" t="s">
        <v>381</v>
      </c>
      <c r="J65" s="699" t="s">
        <v>382</v>
      </c>
      <c r="K65" s="700" t="s">
        <v>408</v>
      </c>
      <c r="L65" s="700" t="s">
        <v>483</v>
      </c>
      <c r="M65" s="700" t="s">
        <v>652</v>
      </c>
      <c r="N65" s="699" t="s">
        <v>653</v>
      </c>
      <c r="O65" s="699" t="s">
        <v>515</v>
      </c>
      <c r="P65" s="701">
        <v>1.24</v>
      </c>
      <c r="Q65" s="699" t="s">
        <v>434</v>
      </c>
      <c r="R65" s="702">
        <v>37115.18</v>
      </c>
      <c r="S65" s="702">
        <v>153.47</v>
      </c>
      <c r="T65" s="702">
        <v>37268.65</v>
      </c>
      <c r="U65" s="702">
        <v>59334.95</v>
      </c>
      <c r="V65" s="702">
        <v>59082.95</v>
      </c>
      <c r="W65" s="702">
        <v>39279.760000000002</v>
      </c>
      <c r="X65" s="703">
        <v>0</v>
      </c>
      <c r="Y65" s="703">
        <v>95</v>
      </c>
      <c r="Z65" s="703">
        <v>11</v>
      </c>
    </row>
    <row r="66" spans="1:26">
      <c r="A66" s="694" t="s">
        <v>654</v>
      </c>
      <c r="B66" s="694" t="s">
        <v>201</v>
      </c>
      <c r="C66" s="694" t="s">
        <v>655</v>
      </c>
      <c r="D66" s="694" t="s">
        <v>391</v>
      </c>
      <c r="E66" s="694" t="s">
        <v>377</v>
      </c>
      <c r="F66" s="694" t="s">
        <v>378</v>
      </c>
      <c r="G66" s="694" t="s">
        <v>379</v>
      </c>
      <c r="H66" s="694" t="s">
        <v>380</v>
      </c>
      <c r="I66" s="694" t="s">
        <v>381</v>
      </c>
      <c r="J66" s="694" t="s">
        <v>401</v>
      </c>
      <c r="K66" s="695" t="s">
        <v>595</v>
      </c>
      <c r="L66" s="695" t="s">
        <v>656</v>
      </c>
      <c r="M66" s="695" t="s">
        <v>657</v>
      </c>
      <c r="N66" s="694" t="s">
        <v>658</v>
      </c>
      <c r="O66" s="694" t="s">
        <v>659</v>
      </c>
      <c r="P66" s="696"/>
      <c r="Q66" s="694" t="s">
        <v>46</v>
      </c>
      <c r="R66" s="697">
        <v>3424.55</v>
      </c>
      <c r="S66" s="697">
        <v>33550.44</v>
      </c>
      <c r="T66" s="697">
        <v>36974.99</v>
      </c>
      <c r="U66" s="697">
        <v>46395.55</v>
      </c>
      <c r="V66" s="697">
        <v>46395.55</v>
      </c>
      <c r="W66" s="697">
        <v>37988.61</v>
      </c>
      <c r="X66" s="698">
        <v>0</v>
      </c>
      <c r="Y66" s="698">
        <v>18</v>
      </c>
      <c r="Z66" s="698">
        <v>10</v>
      </c>
    </row>
    <row r="67" spans="1:26">
      <c r="A67" s="699" t="s">
        <v>660</v>
      </c>
      <c r="B67" s="699" t="s">
        <v>202</v>
      </c>
      <c r="C67" s="699" t="s">
        <v>661</v>
      </c>
      <c r="D67" s="699" t="s">
        <v>376</v>
      </c>
      <c r="E67" s="699" t="s">
        <v>377</v>
      </c>
      <c r="F67" s="699" t="s">
        <v>378</v>
      </c>
      <c r="G67" s="699" t="s">
        <v>392</v>
      </c>
      <c r="H67" s="699" t="s">
        <v>393</v>
      </c>
      <c r="I67" s="699" t="s">
        <v>381</v>
      </c>
      <c r="J67" s="699" t="s">
        <v>382</v>
      </c>
      <c r="K67" s="700" t="s">
        <v>408</v>
      </c>
      <c r="L67" s="700" t="s">
        <v>483</v>
      </c>
      <c r="M67" s="700" t="s">
        <v>652</v>
      </c>
      <c r="N67" s="699" t="s">
        <v>662</v>
      </c>
      <c r="O67" s="699" t="s">
        <v>387</v>
      </c>
      <c r="P67" s="701">
        <v>1.77</v>
      </c>
      <c r="Q67" s="699" t="s">
        <v>434</v>
      </c>
      <c r="R67" s="702">
        <v>36762.75</v>
      </c>
      <c r="S67" s="702">
        <v>101.79</v>
      </c>
      <c r="T67" s="702">
        <v>36864.54</v>
      </c>
      <c r="U67" s="702">
        <v>54870.03</v>
      </c>
      <c r="V67" s="702">
        <v>54870.03</v>
      </c>
      <c r="W67" s="702">
        <v>38939.14</v>
      </c>
      <c r="X67" s="703">
        <v>0</v>
      </c>
      <c r="Y67" s="703">
        <v>68</v>
      </c>
      <c r="Z67" s="703">
        <v>16</v>
      </c>
    </row>
    <row r="68" spans="1:26">
      <c r="A68" s="694" t="s">
        <v>663</v>
      </c>
      <c r="B68" s="694" t="s">
        <v>203</v>
      </c>
      <c r="C68" s="694" t="s">
        <v>664</v>
      </c>
      <c r="D68" s="694" t="s">
        <v>376</v>
      </c>
      <c r="E68" s="694" t="s">
        <v>377</v>
      </c>
      <c r="F68" s="694" t="s">
        <v>378</v>
      </c>
      <c r="G68" s="694" t="s">
        <v>379</v>
      </c>
      <c r="H68" s="694" t="s">
        <v>380</v>
      </c>
      <c r="I68" s="694" t="s">
        <v>400</v>
      </c>
      <c r="J68" s="694" t="s">
        <v>382</v>
      </c>
      <c r="K68" s="695" t="s">
        <v>383</v>
      </c>
      <c r="L68" s="695" t="s">
        <v>562</v>
      </c>
      <c r="M68" s="695" t="s">
        <v>665</v>
      </c>
      <c r="N68" s="694" t="s">
        <v>666</v>
      </c>
      <c r="O68" s="694" t="s">
        <v>387</v>
      </c>
      <c r="P68" s="696">
        <v>0.75</v>
      </c>
      <c r="Q68" s="694" t="s">
        <v>434</v>
      </c>
      <c r="R68" s="697">
        <v>36807.199999999997</v>
      </c>
      <c r="S68" s="697">
        <v>12.39</v>
      </c>
      <c r="T68" s="697">
        <v>36819.589999999997</v>
      </c>
      <c r="U68" s="697">
        <v>84018.559999999998</v>
      </c>
      <c r="V68" s="697">
        <v>84018.559999999998</v>
      </c>
      <c r="W68" s="697">
        <v>38983.42</v>
      </c>
      <c r="X68" s="698">
        <v>1</v>
      </c>
      <c r="Y68" s="698">
        <v>66</v>
      </c>
      <c r="Z68" s="698">
        <v>2</v>
      </c>
    </row>
    <row r="69" spans="1:26" ht="25.5">
      <c r="A69" s="699" t="s">
        <v>667</v>
      </c>
      <c r="B69" s="699" t="s">
        <v>204</v>
      </c>
      <c r="C69" s="699" t="s">
        <v>668</v>
      </c>
      <c r="D69" s="699" t="s">
        <v>428</v>
      </c>
      <c r="E69" s="699" t="s">
        <v>377</v>
      </c>
      <c r="F69" s="699" t="s">
        <v>378</v>
      </c>
      <c r="G69" s="699" t="s">
        <v>379</v>
      </c>
      <c r="H69" s="699" t="s">
        <v>380</v>
      </c>
      <c r="I69" s="699" t="s">
        <v>400</v>
      </c>
      <c r="J69" s="699" t="s">
        <v>401</v>
      </c>
      <c r="K69" s="700" t="s">
        <v>402</v>
      </c>
      <c r="L69" s="700" t="s">
        <v>669</v>
      </c>
      <c r="M69" s="700" t="s">
        <v>670</v>
      </c>
      <c r="N69" s="699"/>
      <c r="O69" s="699" t="s">
        <v>425</v>
      </c>
      <c r="P69" s="701"/>
      <c r="Q69" s="699" t="s">
        <v>46</v>
      </c>
      <c r="R69" s="702">
        <v>36658.879999999997</v>
      </c>
      <c r="S69" s="702"/>
      <c r="T69" s="702">
        <v>36658.879999999997</v>
      </c>
      <c r="U69" s="702">
        <v>222003.65</v>
      </c>
      <c r="V69" s="702">
        <v>220454.64</v>
      </c>
      <c r="W69" s="702">
        <v>105996.62</v>
      </c>
      <c r="X69" s="703">
        <v>1</v>
      </c>
      <c r="Y69" s="703">
        <v>24</v>
      </c>
      <c r="Z69" s="703">
        <v>0</v>
      </c>
    </row>
    <row r="70" spans="1:26">
      <c r="A70" s="694" t="s">
        <v>671</v>
      </c>
      <c r="B70" s="694" t="s">
        <v>205</v>
      </c>
      <c r="C70" s="694" t="s">
        <v>672</v>
      </c>
      <c r="D70" s="694" t="s">
        <v>376</v>
      </c>
      <c r="E70" s="694" t="s">
        <v>377</v>
      </c>
      <c r="F70" s="694" t="s">
        <v>476</v>
      </c>
      <c r="G70" s="694" t="s">
        <v>477</v>
      </c>
      <c r="H70" s="694" t="s">
        <v>673</v>
      </c>
      <c r="I70" s="694" t="s">
        <v>498</v>
      </c>
      <c r="J70" s="694" t="s">
        <v>401</v>
      </c>
      <c r="K70" s="695" t="s">
        <v>402</v>
      </c>
      <c r="L70" s="695" t="s">
        <v>674</v>
      </c>
      <c r="M70" s="695" t="s">
        <v>675</v>
      </c>
      <c r="N70" s="694" t="s">
        <v>676</v>
      </c>
      <c r="O70" s="694" t="s">
        <v>677</v>
      </c>
      <c r="P70" s="696"/>
      <c r="Q70" s="694" t="s">
        <v>46</v>
      </c>
      <c r="R70" s="697">
        <v>2132.5500000000002</v>
      </c>
      <c r="S70" s="697">
        <v>33489.339999999997</v>
      </c>
      <c r="T70" s="697">
        <v>35621.89</v>
      </c>
      <c r="U70" s="697">
        <v>53762</v>
      </c>
      <c r="V70" s="697">
        <v>53762</v>
      </c>
      <c r="W70" s="697">
        <v>36485.050000000003</v>
      </c>
      <c r="X70" s="698">
        <v>0</v>
      </c>
      <c r="Y70" s="698">
        <v>14</v>
      </c>
      <c r="Z70" s="698">
        <v>14</v>
      </c>
    </row>
    <row r="71" spans="1:26">
      <c r="A71" s="699" t="s">
        <v>678</v>
      </c>
      <c r="B71" s="699" t="s">
        <v>206</v>
      </c>
      <c r="C71" s="699" t="s">
        <v>679</v>
      </c>
      <c r="D71" s="699" t="s">
        <v>376</v>
      </c>
      <c r="E71" s="699" t="s">
        <v>377</v>
      </c>
      <c r="F71" s="699" t="s">
        <v>378</v>
      </c>
      <c r="G71" s="699" t="s">
        <v>379</v>
      </c>
      <c r="H71" s="699" t="s">
        <v>380</v>
      </c>
      <c r="I71" s="699" t="s">
        <v>400</v>
      </c>
      <c r="J71" s="699" t="s">
        <v>382</v>
      </c>
      <c r="K71" s="700" t="s">
        <v>421</v>
      </c>
      <c r="L71" s="700" t="s">
        <v>680</v>
      </c>
      <c r="M71" s="700" t="s">
        <v>681</v>
      </c>
      <c r="N71" s="699" t="s">
        <v>682</v>
      </c>
      <c r="O71" s="699" t="s">
        <v>515</v>
      </c>
      <c r="P71" s="701">
        <v>23.11</v>
      </c>
      <c r="Q71" s="699" t="s">
        <v>388</v>
      </c>
      <c r="R71" s="702">
        <v>33839.629999999997</v>
      </c>
      <c r="S71" s="702">
        <v>138.34</v>
      </c>
      <c r="T71" s="702">
        <v>33977.97</v>
      </c>
      <c r="U71" s="702">
        <v>45161.39</v>
      </c>
      <c r="V71" s="702">
        <v>44790.39</v>
      </c>
      <c r="W71" s="702">
        <v>36278.99</v>
      </c>
      <c r="X71" s="703">
        <v>0</v>
      </c>
      <c r="Y71" s="703">
        <v>48</v>
      </c>
      <c r="Z71" s="703">
        <v>6</v>
      </c>
    </row>
    <row r="72" spans="1:26">
      <c r="A72" s="694" t="s">
        <v>683</v>
      </c>
      <c r="B72" s="694" t="s">
        <v>207</v>
      </c>
      <c r="C72" s="694" t="s">
        <v>684</v>
      </c>
      <c r="D72" s="694" t="s">
        <v>391</v>
      </c>
      <c r="E72" s="694" t="s">
        <v>377</v>
      </c>
      <c r="F72" s="694" t="s">
        <v>378</v>
      </c>
      <c r="G72" s="694" t="s">
        <v>379</v>
      </c>
      <c r="H72" s="694" t="s">
        <v>380</v>
      </c>
      <c r="I72" s="694" t="s">
        <v>381</v>
      </c>
      <c r="J72" s="694" t="s">
        <v>382</v>
      </c>
      <c r="K72" s="695" t="s">
        <v>402</v>
      </c>
      <c r="L72" s="695" t="s">
        <v>530</v>
      </c>
      <c r="M72" s="695" t="s">
        <v>531</v>
      </c>
      <c r="N72" s="694" t="s">
        <v>685</v>
      </c>
      <c r="O72" s="694" t="s">
        <v>387</v>
      </c>
      <c r="P72" s="696">
        <v>3.45</v>
      </c>
      <c r="Q72" s="694" t="s">
        <v>412</v>
      </c>
      <c r="R72" s="697">
        <v>33673.24</v>
      </c>
      <c r="S72" s="697">
        <v>252.76</v>
      </c>
      <c r="T72" s="697">
        <v>33926</v>
      </c>
      <c r="U72" s="697">
        <v>61093.19</v>
      </c>
      <c r="V72" s="697">
        <v>60350.69</v>
      </c>
      <c r="W72" s="697">
        <v>35985.18</v>
      </c>
      <c r="X72" s="698">
        <v>0</v>
      </c>
      <c r="Y72" s="698">
        <v>228</v>
      </c>
      <c r="Z72" s="698">
        <v>16</v>
      </c>
    </row>
    <row r="73" spans="1:26">
      <c r="A73" s="699" t="s">
        <v>149</v>
      </c>
      <c r="B73" s="699" t="s">
        <v>149</v>
      </c>
      <c r="C73" s="699" t="s">
        <v>149</v>
      </c>
      <c r="D73" s="699" t="s">
        <v>391</v>
      </c>
      <c r="E73" s="699" t="s">
        <v>377</v>
      </c>
      <c r="F73" s="699" t="s">
        <v>378</v>
      </c>
      <c r="G73" s="699" t="s">
        <v>379</v>
      </c>
      <c r="H73" s="699" t="s">
        <v>380</v>
      </c>
      <c r="I73" s="699" t="s">
        <v>381</v>
      </c>
      <c r="J73" s="699" t="s">
        <v>382</v>
      </c>
      <c r="K73" s="700" t="s">
        <v>408</v>
      </c>
      <c r="L73" s="700" t="s">
        <v>409</v>
      </c>
      <c r="M73" s="700" t="s">
        <v>686</v>
      </c>
      <c r="N73" s="699" t="s">
        <v>466</v>
      </c>
      <c r="O73" s="699" t="s">
        <v>387</v>
      </c>
      <c r="P73" s="701">
        <v>6.5</v>
      </c>
      <c r="Q73" s="699" t="s">
        <v>412</v>
      </c>
      <c r="R73" s="702">
        <v>30263.21</v>
      </c>
      <c r="S73" s="702">
        <v>2061.64</v>
      </c>
      <c r="T73" s="702">
        <v>32324.85</v>
      </c>
      <c r="U73" s="702">
        <v>91366.13</v>
      </c>
      <c r="V73" s="702">
        <v>88114.43</v>
      </c>
      <c r="W73" s="702">
        <v>33854.400000000001</v>
      </c>
      <c r="X73" s="703">
        <v>0</v>
      </c>
      <c r="Y73" s="703">
        <v>115</v>
      </c>
      <c r="Z73" s="703">
        <v>30</v>
      </c>
    </row>
    <row r="74" spans="1:26">
      <c r="A74" s="694" t="s">
        <v>687</v>
      </c>
      <c r="B74" s="694" t="s">
        <v>208</v>
      </c>
      <c r="C74" s="694" t="s">
        <v>688</v>
      </c>
      <c r="D74" s="694" t="s">
        <v>376</v>
      </c>
      <c r="E74" s="694" t="s">
        <v>377</v>
      </c>
      <c r="F74" s="694" t="s">
        <v>378</v>
      </c>
      <c r="G74" s="694" t="s">
        <v>392</v>
      </c>
      <c r="H74" s="694" t="s">
        <v>393</v>
      </c>
      <c r="I74" s="694" t="s">
        <v>400</v>
      </c>
      <c r="J74" s="694" t="s">
        <v>401</v>
      </c>
      <c r="K74" s="695" t="s">
        <v>408</v>
      </c>
      <c r="L74" s="695" t="s">
        <v>409</v>
      </c>
      <c r="M74" s="695" t="s">
        <v>689</v>
      </c>
      <c r="N74" s="694" t="s">
        <v>690</v>
      </c>
      <c r="O74" s="694" t="s">
        <v>491</v>
      </c>
      <c r="P74" s="696"/>
      <c r="Q74" s="694" t="s">
        <v>46</v>
      </c>
      <c r="R74" s="697">
        <v>25433.5</v>
      </c>
      <c r="S74" s="697">
        <v>6396.21</v>
      </c>
      <c r="T74" s="697">
        <v>31829.71</v>
      </c>
      <c r="U74" s="697">
        <v>61963.68</v>
      </c>
      <c r="V74" s="697">
        <v>60439.68</v>
      </c>
      <c r="W74" s="697">
        <v>34174.370000000003</v>
      </c>
      <c r="X74" s="698">
        <v>0</v>
      </c>
      <c r="Y74" s="698">
        <v>90</v>
      </c>
      <c r="Z74" s="698">
        <v>48</v>
      </c>
    </row>
    <row r="75" spans="1:26">
      <c r="A75" s="699" t="s">
        <v>691</v>
      </c>
      <c r="B75" s="699" t="s">
        <v>209</v>
      </c>
      <c r="C75" s="699" t="s">
        <v>692</v>
      </c>
      <c r="D75" s="699" t="s">
        <v>376</v>
      </c>
      <c r="E75" s="699" t="s">
        <v>377</v>
      </c>
      <c r="F75" s="699" t="s">
        <v>378</v>
      </c>
      <c r="G75" s="699" t="s">
        <v>392</v>
      </c>
      <c r="H75" s="699" t="s">
        <v>393</v>
      </c>
      <c r="I75" s="699" t="s">
        <v>400</v>
      </c>
      <c r="J75" s="699" t="s">
        <v>382</v>
      </c>
      <c r="K75" s="700" t="s">
        <v>499</v>
      </c>
      <c r="L75" s="700" t="s">
        <v>693</v>
      </c>
      <c r="M75" s="700" t="s">
        <v>694</v>
      </c>
      <c r="N75" s="699" t="s">
        <v>695</v>
      </c>
      <c r="O75" s="699" t="s">
        <v>387</v>
      </c>
      <c r="P75" s="701">
        <v>4.67</v>
      </c>
      <c r="Q75" s="699" t="s">
        <v>412</v>
      </c>
      <c r="R75" s="702">
        <v>31220.45</v>
      </c>
      <c r="S75" s="702">
        <v>604.28</v>
      </c>
      <c r="T75" s="702">
        <v>31824.73</v>
      </c>
      <c r="U75" s="702">
        <v>49899.43</v>
      </c>
      <c r="V75" s="702">
        <v>49899.43</v>
      </c>
      <c r="W75" s="702">
        <v>34842.410000000003</v>
      </c>
      <c r="X75" s="703">
        <v>0</v>
      </c>
      <c r="Y75" s="703">
        <v>126</v>
      </c>
      <c r="Z75" s="703">
        <v>10</v>
      </c>
    </row>
    <row r="76" spans="1:26">
      <c r="A76" s="694" t="s">
        <v>696</v>
      </c>
      <c r="B76" s="694" t="s">
        <v>210</v>
      </c>
      <c r="C76" s="694" t="s">
        <v>697</v>
      </c>
      <c r="D76" s="694" t="s">
        <v>376</v>
      </c>
      <c r="E76" s="694" t="s">
        <v>377</v>
      </c>
      <c r="F76" s="694" t="s">
        <v>378</v>
      </c>
      <c r="G76" s="694" t="s">
        <v>379</v>
      </c>
      <c r="H76" s="694" t="s">
        <v>380</v>
      </c>
      <c r="I76" s="694" t="s">
        <v>400</v>
      </c>
      <c r="J76" s="694" t="s">
        <v>382</v>
      </c>
      <c r="K76" s="695" t="s">
        <v>585</v>
      </c>
      <c r="L76" s="695" t="s">
        <v>698</v>
      </c>
      <c r="M76" s="695" t="s">
        <v>699</v>
      </c>
      <c r="N76" s="694" t="s">
        <v>700</v>
      </c>
      <c r="O76" s="694" t="s">
        <v>515</v>
      </c>
      <c r="P76" s="696">
        <v>1.26</v>
      </c>
      <c r="Q76" s="694" t="s">
        <v>434</v>
      </c>
      <c r="R76" s="697">
        <v>31243.65</v>
      </c>
      <c r="S76" s="697">
        <v>270.48</v>
      </c>
      <c r="T76" s="697">
        <v>31514.13</v>
      </c>
      <c r="U76" s="697">
        <v>65429.9</v>
      </c>
      <c r="V76" s="697">
        <v>63925.9</v>
      </c>
      <c r="W76" s="697">
        <v>33947.32</v>
      </c>
      <c r="X76" s="698">
        <v>1</v>
      </c>
      <c r="Y76" s="698">
        <v>79</v>
      </c>
      <c r="Z76" s="698">
        <v>5</v>
      </c>
    </row>
    <row r="77" spans="1:26">
      <c r="A77" s="699" t="s">
        <v>701</v>
      </c>
      <c r="B77" s="699" t="s">
        <v>211</v>
      </c>
      <c r="C77" s="699" t="s">
        <v>702</v>
      </c>
      <c r="D77" s="699" t="s">
        <v>376</v>
      </c>
      <c r="E77" s="699" t="s">
        <v>377</v>
      </c>
      <c r="F77" s="699" t="s">
        <v>378</v>
      </c>
      <c r="G77" s="699" t="s">
        <v>379</v>
      </c>
      <c r="H77" s="699" t="s">
        <v>380</v>
      </c>
      <c r="I77" s="699" t="s">
        <v>381</v>
      </c>
      <c r="J77" s="699" t="s">
        <v>382</v>
      </c>
      <c r="K77" s="700" t="s">
        <v>408</v>
      </c>
      <c r="L77" s="700" t="s">
        <v>483</v>
      </c>
      <c r="M77" s="700" t="s">
        <v>509</v>
      </c>
      <c r="N77" s="699" t="s">
        <v>703</v>
      </c>
      <c r="O77" s="699" t="s">
        <v>387</v>
      </c>
      <c r="P77" s="701">
        <v>1.44</v>
      </c>
      <c r="Q77" s="699" t="s">
        <v>434</v>
      </c>
      <c r="R77" s="702">
        <v>31058.51</v>
      </c>
      <c r="S77" s="702">
        <v>387.99</v>
      </c>
      <c r="T77" s="702">
        <v>31446.5</v>
      </c>
      <c r="U77" s="702">
        <v>64671.9</v>
      </c>
      <c r="V77" s="702">
        <v>64386.9</v>
      </c>
      <c r="W77" s="702">
        <v>34081.480000000003</v>
      </c>
      <c r="X77" s="703">
        <v>0</v>
      </c>
      <c r="Y77" s="703">
        <v>46</v>
      </c>
      <c r="Z77" s="703">
        <v>27</v>
      </c>
    </row>
    <row r="78" spans="1:26">
      <c r="A78" s="694" t="s">
        <v>704</v>
      </c>
      <c r="B78" s="694" t="s">
        <v>212</v>
      </c>
      <c r="C78" s="694" t="s">
        <v>705</v>
      </c>
      <c r="D78" s="694" t="s">
        <v>391</v>
      </c>
      <c r="E78" s="694" t="s">
        <v>377</v>
      </c>
      <c r="F78" s="694" t="s">
        <v>378</v>
      </c>
      <c r="G78" s="694" t="s">
        <v>379</v>
      </c>
      <c r="H78" s="694" t="s">
        <v>380</v>
      </c>
      <c r="I78" s="694" t="s">
        <v>400</v>
      </c>
      <c r="J78" s="694" t="s">
        <v>401</v>
      </c>
      <c r="K78" s="695" t="s">
        <v>402</v>
      </c>
      <c r="L78" s="695" t="s">
        <v>706</v>
      </c>
      <c r="M78" s="695" t="s">
        <v>707</v>
      </c>
      <c r="N78" s="694" t="s">
        <v>708</v>
      </c>
      <c r="O78" s="694" t="s">
        <v>425</v>
      </c>
      <c r="P78" s="696"/>
      <c r="Q78" s="694" t="s">
        <v>46</v>
      </c>
      <c r="R78" s="697">
        <v>30886.639999999999</v>
      </c>
      <c r="S78" s="697">
        <v>151.66</v>
      </c>
      <c r="T78" s="697">
        <v>31038.3</v>
      </c>
      <c r="U78" s="697">
        <v>54525.04</v>
      </c>
      <c r="V78" s="697">
        <v>53865.64</v>
      </c>
      <c r="W78" s="697">
        <v>31653.41</v>
      </c>
      <c r="X78" s="698">
        <v>0</v>
      </c>
      <c r="Y78" s="698">
        <v>226</v>
      </c>
      <c r="Z78" s="698">
        <v>11</v>
      </c>
    </row>
    <row r="79" spans="1:26">
      <c r="A79" s="699" t="s">
        <v>709</v>
      </c>
      <c r="B79" s="699" t="s">
        <v>213</v>
      </c>
      <c r="C79" s="699" t="s">
        <v>710</v>
      </c>
      <c r="D79" s="699" t="s">
        <v>391</v>
      </c>
      <c r="E79" s="699" t="s">
        <v>377</v>
      </c>
      <c r="F79" s="699" t="s">
        <v>378</v>
      </c>
      <c r="G79" s="699" t="s">
        <v>379</v>
      </c>
      <c r="H79" s="699" t="s">
        <v>380</v>
      </c>
      <c r="I79" s="699" t="s">
        <v>381</v>
      </c>
      <c r="J79" s="699" t="s">
        <v>382</v>
      </c>
      <c r="K79" s="700" t="s">
        <v>408</v>
      </c>
      <c r="L79" s="700" t="s">
        <v>711</v>
      </c>
      <c r="M79" s="700" t="s">
        <v>712</v>
      </c>
      <c r="N79" s="699" t="s">
        <v>510</v>
      </c>
      <c r="O79" s="699" t="s">
        <v>387</v>
      </c>
      <c r="P79" s="701">
        <v>4.26</v>
      </c>
      <c r="Q79" s="699" t="s">
        <v>412</v>
      </c>
      <c r="R79" s="702">
        <v>11124.77</v>
      </c>
      <c r="S79" s="702">
        <v>18944.400000000001</v>
      </c>
      <c r="T79" s="702">
        <v>30069.17</v>
      </c>
      <c r="U79" s="702">
        <v>52156.25</v>
      </c>
      <c r="V79" s="702">
        <v>51941.35</v>
      </c>
      <c r="W79" s="702">
        <v>32618.1</v>
      </c>
      <c r="X79" s="703">
        <v>0</v>
      </c>
      <c r="Y79" s="703">
        <v>149</v>
      </c>
      <c r="Z79" s="703">
        <v>41</v>
      </c>
    </row>
    <row r="80" spans="1:26">
      <c r="A80" s="694" t="s">
        <v>149</v>
      </c>
      <c r="B80" s="694" t="s">
        <v>149</v>
      </c>
      <c r="C80" s="694" t="s">
        <v>149</v>
      </c>
      <c r="D80" s="694" t="s">
        <v>376</v>
      </c>
      <c r="E80" s="694" t="s">
        <v>377</v>
      </c>
      <c r="F80" s="694" t="s">
        <v>476</v>
      </c>
      <c r="G80" s="694" t="s">
        <v>477</v>
      </c>
      <c r="H80" s="694" t="s">
        <v>380</v>
      </c>
      <c r="I80" s="694" t="s">
        <v>429</v>
      </c>
      <c r="J80" s="694" t="s">
        <v>401</v>
      </c>
      <c r="K80" s="695" t="s">
        <v>713</v>
      </c>
      <c r="L80" s="695" t="s">
        <v>713</v>
      </c>
      <c r="M80" s="695" t="s">
        <v>466</v>
      </c>
      <c r="N80" s="694" t="s">
        <v>714</v>
      </c>
      <c r="O80" s="694" t="s">
        <v>715</v>
      </c>
      <c r="P80" s="696"/>
      <c r="Q80" s="694" t="s">
        <v>46</v>
      </c>
      <c r="R80" s="697">
        <v>29503.200000000001</v>
      </c>
      <c r="S80" s="697">
        <v>28.92</v>
      </c>
      <c r="T80" s="697">
        <v>29532.12</v>
      </c>
      <c r="U80" s="697">
        <v>196953.62</v>
      </c>
      <c r="V80" s="697">
        <v>196953.62</v>
      </c>
      <c r="W80" s="697">
        <v>34116.050000000003</v>
      </c>
      <c r="X80" s="698">
        <v>0</v>
      </c>
      <c r="Y80" s="698">
        <v>34</v>
      </c>
      <c r="Z80" s="698">
        <v>2</v>
      </c>
    </row>
    <row r="81" spans="1:26">
      <c r="A81" s="699" t="s">
        <v>716</v>
      </c>
      <c r="B81" s="699" t="s">
        <v>214</v>
      </c>
      <c r="C81" s="699" t="s">
        <v>717</v>
      </c>
      <c r="D81" s="699" t="s">
        <v>376</v>
      </c>
      <c r="E81" s="699" t="s">
        <v>377</v>
      </c>
      <c r="F81" s="699" t="s">
        <v>378</v>
      </c>
      <c r="G81" s="699" t="s">
        <v>379</v>
      </c>
      <c r="H81" s="699" t="s">
        <v>380</v>
      </c>
      <c r="I81" s="699" t="s">
        <v>381</v>
      </c>
      <c r="J81" s="699" t="s">
        <v>382</v>
      </c>
      <c r="K81" s="700" t="s">
        <v>408</v>
      </c>
      <c r="L81" s="700" t="s">
        <v>711</v>
      </c>
      <c r="M81" s="700" t="s">
        <v>718</v>
      </c>
      <c r="N81" s="699" t="s">
        <v>592</v>
      </c>
      <c r="O81" s="699" t="s">
        <v>387</v>
      </c>
      <c r="P81" s="701">
        <v>4.71</v>
      </c>
      <c r="Q81" s="699" t="s">
        <v>412</v>
      </c>
      <c r="R81" s="702">
        <v>29117.3</v>
      </c>
      <c r="S81" s="702">
        <v>360.89</v>
      </c>
      <c r="T81" s="702">
        <v>29478.19</v>
      </c>
      <c r="U81" s="702">
        <v>57482.87</v>
      </c>
      <c r="V81" s="702">
        <v>59302.87</v>
      </c>
      <c r="W81" s="702">
        <v>32266.33</v>
      </c>
      <c r="X81" s="703">
        <v>0</v>
      </c>
      <c r="Y81" s="703">
        <v>450</v>
      </c>
      <c r="Z81" s="703">
        <v>8</v>
      </c>
    </row>
    <row r="82" spans="1:26">
      <c r="A82" s="694" t="s">
        <v>719</v>
      </c>
      <c r="B82" s="694" t="s">
        <v>215</v>
      </c>
      <c r="C82" s="694" t="s">
        <v>720</v>
      </c>
      <c r="D82" s="694" t="s">
        <v>391</v>
      </c>
      <c r="E82" s="694" t="s">
        <v>377</v>
      </c>
      <c r="F82" s="694" t="s">
        <v>378</v>
      </c>
      <c r="G82" s="694" t="s">
        <v>392</v>
      </c>
      <c r="H82" s="694" t="s">
        <v>393</v>
      </c>
      <c r="I82" s="694" t="s">
        <v>381</v>
      </c>
      <c r="J82" s="694" t="s">
        <v>382</v>
      </c>
      <c r="K82" s="695" t="s">
        <v>394</v>
      </c>
      <c r="L82" s="695" t="s">
        <v>395</v>
      </c>
      <c r="M82" s="695" t="s">
        <v>721</v>
      </c>
      <c r="N82" s="694" t="s">
        <v>722</v>
      </c>
      <c r="O82" s="694" t="s">
        <v>425</v>
      </c>
      <c r="P82" s="696">
        <v>0.83</v>
      </c>
      <c r="Q82" s="694" t="s">
        <v>434</v>
      </c>
      <c r="R82" s="697">
        <v>28747.05</v>
      </c>
      <c r="S82" s="697">
        <v>384.03</v>
      </c>
      <c r="T82" s="697">
        <v>29131.08</v>
      </c>
      <c r="U82" s="697">
        <v>97999.97</v>
      </c>
      <c r="V82" s="697">
        <v>97999.97</v>
      </c>
      <c r="W82" s="697">
        <v>31204.05</v>
      </c>
      <c r="X82" s="698">
        <v>0</v>
      </c>
      <c r="Y82" s="698">
        <v>19</v>
      </c>
      <c r="Z82" s="698">
        <v>5</v>
      </c>
    </row>
    <row r="83" spans="1:26">
      <c r="A83" s="699" t="s">
        <v>723</v>
      </c>
      <c r="B83" s="699" t="s">
        <v>216</v>
      </c>
      <c r="C83" s="699" t="s">
        <v>724</v>
      </c>
      <c r="D83" s="699" t="s">
        <v>376</v>
      </c>
      <c r="E83" s="699" t="s">
        <v>377</v>
      </c>
      <c r="F83" s="699" t="s">
        <v>378</v>
      </c>
      <c r="G83" s="699" t="s">
        <v>379</v>
      </c>
      <c r="H83" s="699" t="s">
        <v>380</v>
      </c>
      <c r="I83" s="699" t="s">
        <v>446</v>
      </c>
      <c r="J83" s="699" t="s">
        <v>382</v>
      </c>
      <c r="K83" s="700" t="s">
        <v>408</v>
      </c>
      <c r="L83" s="700" t="s">
        <v>409</v>
      </c>
      <c r="M83" s="700" t="s">
        <v>725</v>
      </c>
      <c r="N83" s="699" t="s">
        <v>726</v>
      </c>
      <c r="O83" s="699" t="s">
        <v>387</v>
      </c>
      <c r="P83" s="701">
        <v>2.04</v>
      </c>
      <c r="Q83" s="699" t="s">
        <v>434</v>
      </c>
      <c r="R83" s="702">
        <v>28745.75</v>
      </c>
      <c r="S83" s="702">
        <v>81.239999999999995</v>
      </c>
      <c r="T83" s="702">
        <v>28826.99</v>
      </c>
      <c r="U83" s="702">
        <v>52860.95</v>
      </c>
      <c r="V83" s="702">
        <v>52860.95</v>
      </c>
      <c r="W83" s="702">
        <v>32866.04</v>
      </c>
      <c r="X83" s="703">
        <v>0</v>
      </c>
      <c r="Y83" s="703">
        <v>18</v>
      </c>
      <c r="Z83" s="703">
        <v>7</v>
      </c>
    </row>
    <row r="84" spans="1:26" ht="25.5">
      <c r="A84" s="694" t="s">
        <v>727</v>
      </c>
      <c r="B84" s="694" t="s">
        <v>217</v>
      </c>
      <c r="C84" s="694" t="s">
        <v>728</v>
      </c>
      <c r="D84" s="694" t="s">
        <v>376</v>
      </c>
      <c r="E84" s="694" t="s">
        <v>377</v>
      </c>
      <c r="F84" s="694" t="s">
        <v>378</v>
      </c>
      <c r="G84" s="694" t="s">
        <v>379</v>
      </c>
      <c r="H84" s="694" t="s">
        <v>380</v>
      </c>
      <c r="I84" s="694" t="s">
        <v>400</v>
      </c>
      <c r="J84" s="694" t="s">
        <v>382</v>
      </c>
      <c r="K84" s="695" t="s">
        <v>729</v>
      </c>
      <c r="L84" s="695" t="s">
        <v>730</v>
      </c>
      <c r="M84" s="695" t="s">
        <v>731</v>
      </c>
      <c r="N84" s="694" t="s">
        <v>732</v>
      </c>
      <c r="O84" s="694" t="s">
        <v>387</v>
      </c>
      <c r="P84" s="696">
        <v>2.06</v>
      </c>
      <c r="Q84" s="694" t="s">
        <v>434</v>
      </c>
      <c r="R84" s="697">
        <v>28460.54</v>
      </c>
      <c r="S84" s="697">
        <v>248.93</v>
      </c>
      <c r="T84" s="697">
        <v>28709.47</v>
      </c>
      <c r="U84" s="697">
        <v>64810.9</v>
      </c>
      <c r="V84" s="697">
        <v>64660.9</v>
      </c>
      <c r="W84" s="697">
        <v>30522.67</v>
      </c>
      <c r="X84" s="698">
        <v>0</v>
      </c>
      <c r="Y84" s="698">
        <v>225</v>
      </c>
      <c r="Z84" s="698">
        <v>6</v>
      </c>
    </row>
    <row r="85" spans="1:26">
      <c r="A85" s="699" t="s">
        <v>733</v>
      </c>
      <c r="B85" s="699" t="s">
        <v>218</v>
      </c>
      <c r="C85" s="699" t="s">
        <v>734</v>
      </c>
      <c r="D85" s="699" t="s">
        <v>376</v>
      </c>
      <c r="E85" s="699" t="s">
        <v>377</v>
      </c>
      <c r="F85" s="699" t="s">
        <v>378</v>
      </c>
      <c r="G85" s="699" t="s">
        <v>379</v>
      </c>
      <c r="H85" s="699" t="s">
        <v>380</v>
      </c>
      <c r="I85" s="699" t="s">
        <v>429</v>
      </c>
      <c r="J85" s="699" t="s">
        <v>382</v>
      </c>
      <c r="K85" s="700" t="s">
        <v>383</v>
      </c>
      <c r="L85" s="700" t="s">
        <v>562</v>
      </c>
      <c r="M85" s="700" t="s">
        <v>735</v>
      </c>
      <c r="N85" s="699" t="s">
        <v>695</v>
      </c>
      <c r="O85" s="699" t="s">
        <v>387</v>
      </c>
      <c r="P85" s="701">
        <v>1.57</v>
      </c>
      <c r="Q85" s="699" t="s">
        <v>434</v>
      </c>
      <c r="R85" s="702">
        <v>26814.31</v>
      </c>
      <c r="S85" s="702">
        <v>960.91</v>
      </c>
      <c r="T85" s="702">
        <v>27775.22</v>
      </c>
      <c r="U85" s="702">
        <v>78959.740000000005</v>
      </c>
      <c r="V85" s="702">
        <v>77984.740000000005</v>
      </c>
      <c r="W85" s="702">
        <v>34292.92</v>
      </c>
      <c r="X85" s="703">
        <v>0</v>
      </c>
      <c r="Y85" s="703">
        <v>101</v>
      </c>
      <c r="Z85" s="703">
        <v>40</v>
      </c>
    </row>
    <row r="86" spans="1:26">
      <c r="A86" s="694" t="s">
        <v>736</v>
      </c>
      <c r="B86" s="694" t="s">
        <v>219</v>
      </c>
      <c r="C86" s="694" t="s">
        <v>737</v>
      </c>
      <c r="D86" s="694" t="s">
        <v>376</v>
      </c>
      <c r="E86" s="694" t="s">
        <v>377</v>
      </c>
      <c r="F86" s="694" t="s">
        <v>378</v>
      </c>
      <c r="G86" s="694" t="s">
        <v>379</v>
      </c>
      <c r="H86" s="694" t="s">
        <v>380</v>
      </c>
      <c r="I86" s="694" t="s">
        <v>400</v>
      </c>
      <c r="J86" s="694" t="s">
        <v>382</v>
      </c>
      <c r="K86" s="695" t="s">
        <v>626</v>
      </c>
      <c r="L86" s="695" t="s">
        <v>738</v>
      </c>
      <c r="M86" s="695" t="s">
        <v>739</v>
      </c>
      <c r="N86" s="694" t="s">
        <v>740</v>
      </c>
      <c r="O86" s="694" t="s">
        <v>491</v>
      </c>
      <c r="P86" s="696">
        <v>0.26</v>
      </c>
      <c r="Q86" s="694" t="s">
        <v>434</v>
      </c>
      <c r="R86" s="697">
        <v>26992.29</v>
      </c>
      <c r="S86" s="697">
        <v>752.64</v>
      </c>
      <c r="T86" s="697">
        <v>27744.93</v>
      </c>
      <c r="U86" s="697">
        <v>45874.26</v>
      </c>
      <c r="V86" s="697">
        <v>45874.26</v>
      </c>
      <c r="W86" s="697">
        <v>29755.51</v>
      </c>
      <c r="X86" s="698">
        <v>1</v>
      </c>
      <c r="Y86" s="698">
        <v>70</v>
      </c>
      <c r="Z86" s="698">
        <v>4</v>
      </c>
    </row>
    <row r="87" spans="1:26">
      <c r="A87" s="699" t="s">
        <v>741</v>
      </c>
      <c r="B87" s="699" t="s">
        <v>220</v>
      </c>
      <c r="C87" s="699" t="s">
        <v>742</v>
      </c>
      <c r="D87" s="699" t="s">
        <v>391</v>
      </c>
      <c r="E87" s="699" t="s">
        <v>377</v>
      </c>
      <c r="F87" s="699" t="s">
        <v>378</v>
      </c>
      <c r="G87" s="699" t="s">
        <v>379</v>
      </c>
      <c r="H87" s="699" t="s">
        <v>380</v>
      </c>
      <c r="I87" s="699" t="s">
        <v>429</v>
      </c>
      <c r="J87" s="699" t="s">
        <v>401</v>
      </c>
      <c r="K87" s="700" t="s">
        <v>408</v>
      </c>
      <c r="L87" s="700" t="s">
        <v>409</v>
      </c>
      <c r="M87" s="700" t="s">
        <v>743</v>
      </c>
      <c r="N87" s="699" t="s">
        <v>744</v>
      </c>
      <c r="O87" s="699" t="s">
        <v>745</v>
      </c>
      <c r="P87" s="701"/>
      <c r="Q87" s="699" t="s">
        <v>46</v>
      </c>
      <c r="R87" s="702">
        <v>7794.26</v>
      </c>
      <c r="S87" s="702">
        <v>19561.93</v>
      </c>
      <c r="T87" s="702">
        <v>27356.19</v>
      </c>
      <c r="U87" s="702">
        <v>50161.15</v>
      </c>
      <c r="V87" s="702">
        <v>50161.15</v>
      </c>
      <c r="W87" s="702">
        <v>28376.12</v>
      </c>
      <c r="X87" s="703">
        <v>0</v>
      </c>
      <c r="Y87" s="703">
        <v>54</v>
      </c>
      <c r="Z87" s="703">
        <v>48</v>
      </c>
    </row>
    <row r="88" spans="1:26" ht="25.5">
      <c r="A88" s="694" t="s">
        <v>746</v>
      </c>
      <c r="B88" s="694" t="s">
        <v>221</v>
      </c>
      <c r="C88" s="694" t="s">
        <v>747</v>
      </c>
      <c r="D88" s="694" t="s">
        <v>428</v>
      </c>
      <c r="E88" s="694" t="s">
        <v>377</v>
      </c>
      <c r="F88" s="694" t="s">
        <v>378</v>
      </c>
      <c r="G88" s="694" t="s">
        <v>379</v>
      </c>
      <c r="H88" s="694" t="s">
        <v>380</v>
      </c>
      <c r="I88" s="694" t="s">
        <v>400</v>
      </c>
      <c r="J88" s="694" t="s">
        <v>382</v>
      </c>
      <c r="K88" s="695" t="s">
        <v>499</v>
      </c>
      <c r="L88" s="695" t="s">
        <v>748</v>
      </c>
      <c r="M88" s="695" t="s">
        <v>749</v>
      </c>
      <c r="N88" s="694"/>
      <c r="O88" s="694" t="s">
        <v>425</v>
      </c>
      <c r="P88" s="696">
        <v>0.34</v>
      </c>
      <c r="Q88" s="694" t="s">
        <v>434</v>
      </c>
      <c r="R88" s="697">
        <v>27123.19</v>
      </c>
      <c r="S88" s="697"/>
      <c r="T88" s="697">
        <v>27123.19</v>
      </c>
      <c r="U88" s="697">
        <v>58764.47</v>
      </c>
      <c r="V88" s="697">
        <v>60087.47</v>
      </c>
      <c r="W88" s="697">
        <v>27818.12</v>
      </c>
      <c r="X88" s="698">
        <v>1</v>
      </c>
      <c r="Y88" s="698">
        <v>44</v>
      </c>
      <c r="Z88" s="698">
        <v>0</v>
      </c>
    </row>
    <row r="89" spans="1:26">
      <c r="A89" s="699" t="s">
        <v>750</v>
      </c>
      <c r="B89" s="699" t="s">
        <v>222</v>
      </c>
      <c r="C89" s="699" t="s">
        <v>751</v>
      </c>
      <c r="D89" s="699" t="s">
        <v>376</v>
      </c>
      <c r="E89" s="699" t="s">
        <v>377</v>
      </c>
      <c r="F89" s="699" t="s">
        <v>378</v>
      </c>
      <c r="G89" s="699" t="s">
        <v>392</v>
      </c>
      <c r="H89" s="699" t="s">
        <v>393</v>
      </c>
      <c r="I89" s="699" t="s">
        <v>381</v>
      </c>
      <c r="J89" s="699" t="s">
        <v>382</v>
      </c>
      <c r="K89" s="700" t="s">
        <v>402</v>
      </c>
      <c r="L89" s="700" t="s">
        <v>530</v>
      </c>
      <c r="M89" s="700" t="s">
        <v>752</v>
      </c>
      <c r="N89" s="699" t="s">
        <v>502</v>
      </c>
      <c r="O89" s="699" t="s">
        <v>387</v>
      </c>
      <c r="P89" s="701">
        <v>4.58</v>
      </c>
      <c r="Q89" s="699" t="s">
        <v>412</v>
      </c>
      <c r="R89" s="702">
        <v>14855.55</v>
      </c>
      <c r="S89" s="702">
        <v>10850.87</v>
      </c>
      <c r="T89" s="702">
        <v>25706.42</v>
      </c>
      <c r="U89" s="702">
        <v>54805.14</v>
      </c>
      <c r="V89" s="702">
        <v>54784.1</v>
      </c>
      <c r="W89" s="702">
        <v>29522.31</v>
      </c>
      <c r="X89" s="703">
        <v>0</v>
      </c>
      <c r="Y89" s="703">
        <v>116</v>
      </c>
      <c r="Z89" s="703">
        <v>76</v>
      </c>
    </row>
    <row r="90" spans="1:26">
      <c r="A90" s="694" t="s">
        <v>753</v>
      </c>
      <c r="B90" s="694" t="s">
        <v>223</v>
      </c>
      <c r="C90" s="694" t="s">
        <v>754</v>
      </c>
      <c r="D90" s="694" t="s">
        <v>376</v>
      </c>
      <c r="E90" s="694" t="s">
        <v>377</v>
      </c>
      <c r="F90" s="694" t="s">
        <v>378</v>
      </c>
      <c r="G90" s="694" t="s">
        <v>379</v>
      </c>
      <c r="H90" s="694" t="s">
        <v>380</v>
      </c>
      <c r="I90" s="694" t="s">
        <v>429</v>
      </c>
      <c r="J90" s="694" t="s">
        <v>382</v>
      </c>
      <c r="K90" s="695" t="s">
        <v>430</v>
      </c>
      <c r="L90" s="695" t="s">
        <v>518</v>
      </c>
      <c r="M90" s="695" t="s">
        <v>519</v>
      </c>
      <c r="N90" s="694" t="s">
        <v>544</v>
      </c>
      <c r="O90" s="694" t="s">
        <v>387</v>
      </c>
      <c r="P90" s="696">
        <v>0.15</v>
      </c>
      <c r="Q90" s="694" t="s">
        <v>434</v>
      </c>
      <c r="R90" s="697">
        <v>25323.59</v>
      </c>
      <c r="S90" s="697">
        <v>379.99</v>
      </c>
      <c r="T90" s="697">
        <v>25703.58</v>
      </c>
      <c r="U90" s="697">
        <v>50062.66</v>
      </c>
      <c r="V90" s="697">
        <v>48692.66</v>
      </c>
      <c r="W90" s="697">
        <v>31345.24</v>
      </c>
      <c r="X90" s="698">
        <v>0</v>
      </c>
      <c r="Y90" s="698">
        <v>304</v>
      </c>
      <c r="Z90" s="698">
        <v>17</v>
      </c>
    </row>
    <row r="91" spans="1:26">
      <c r="A91" s="699" t="s">
        <v>755</v>
      </c>
      <c r="B91" s="699" t="s">
        <v>224</v>
      </c>
      <c r="C91" s="699" t="s">
        <v>756</v>
      </c>
      <c r="D91" s="699" t="s">
        <v>376</v>
      </c>
      <c r="E91" s="699" t="s">
        <v>377</v>
      </c>
      <c r="F91" s="699" t="s">
        <v>378</v>
      </c>
      <c r="G91" s="699" t="s">
        <v>379</v>
      </c>
      <c r="H91" s="699" t="s">
        <v>380</v>
      </c>
      <c r="I91" s="699" t="s">
        <v>400</v>
      </c>
      <c r="J91" s="699" t="s">
        <v>401</v>
      </c>
      <c r="K91" s="700" t="s">
        <v>499</v>
      </c>
      <c r="L91" s="700" t="s">
        <v>693</v>
      </c>
      <c r="M91" s="700" t="s">
        <v>757</v>
      </c>
      <c r="N91" s="699" t="s">
        <v>758</v>
      </c>
      <c r="O91" s="699" t="s">
        <v>491</v>
      </c>
      <c r="P91" s="701"/>
      <c r="Q91" s="699" t="s">
        <v>46</v>
      </c>
      <c r="R91" s="702">
        <v>25478.71</v>
      </c>
      <c r="S91" s="702">
        <v>51.26</v>
      </c>
      <c r="T91" s="702">
        <v>25529.97</v>
      </c>
      <c r="U91" s="702">
        <v>46531.21</v>
      </c>
      <c r="V91" s="702">
        <v>46531.21</v>
      </c>
      <c r="W91" s="702">
        <v>27631.42</v>
      </c>
      <c r="X91" s="703">
        <v>0</v>
      </c>
      <c r="Y91" s="703">
        <v>89</v>
      </c>
      <c r="Z91" s="703">
        <v>4</v>
      </c>
    </row>
    <row r="92" spans="1:26">
      <c r="A92" s="694" t="s">
        <v>759</v>
      </c>
      <c r="B92" s="694" t="s">
        <v>225</v>
      </c>
      <c r="C92" s="694" t="s">
        <v>760</v>
      </c>
      <c r="D92" s="694" t="s">
        <v>391</v>
      </c>
      <c r="E92" s="694" t="s">
        <v>377</v>
      </c>
      <c r="F92" s="694" t="s">
        <v>378</v>
      </c>
      <c r="G92" s="694" t="s">
        <v>635</v>
      </c>
      <c r="H92" s="694" t="s">
        <v>636</v>
      </c>
      <c r="I92" s="694" t="s">
        <v>400</v>
      </c>
      <c r="J92" s="694" t="s">
        <v>401</v>
      </c>
      <c r="K92" s="695" t="s">
        <v>408</v>
      </c>
      <c r="L92" s="695" t="s">
        <v>409</v>
      </c>
      <c r="M92" s="695" t="s">
        <v>761</v>
      </c>
      <c r="N92" s="694" t="s">
        <v>569</v>
      </c>
      <c r="O92" s="694" t="s">
        <v>515</v>
      </c>
      <c r="P92" s="696"/>
      <c r="Q92" s="694" t="s">
        <v>46</v>
      </c>
      <c r="R92" s="697">
        <v>25021.67</v>
      </c>
      <c r="S92" s="697">
        <v>305.85000000000002</v>
      </c>
      <c r="T92" s="697">
        <v>25327.52</v>
      </c>
      <c r="U92" s="697">
        <v>53456.56</v>
      </c>
      <c r="V92" s="697">
        <v>53456.56</v>
      </c>
      <c r="W92" s="697">
        <v>29379.39</v>
      </c>
      <c r="X92" s="698">
        <v>0</v>
      </c>
      <c r="Y92" s="698">
        <v>135</v>
      </c>
      <c r="Z92" s="698">
        <v>18</v>
      </c>
    </row>
    <row r="93" spans="1:26">
      <c r="A93" s="699" t="s">
        <v>762</v>
      </c>
      <c r="B93" s="699" t="s">
        <v>226</v>
      </c>
      <c r="C93" s="699" t="s">
        <v>763</v>
      </c>
      <c r="D93" s="699" t="s">
        <v>376</v>
      </c>
      <c r="E93" s="699" t="s">
        <v>377</v>
      </c>
      <c r="F93" s="699" t="s">
        <v>476</v>
      </c>
      <c r="G93" s="699" t="s">
        <v>477</v>
      </c>
      <c r="H93" s="699" t="s">
        <v>380</v>
      </c>
      <c r="I93" s="699" t="s">
        <v>764</v>
      </c>
      <c r="J93" s="699" t="s">
        <v>382</v>
      </c>
      <c r="K93" s="700" t="s">
        <v>585</v>
      </c>
      <c r="L93" s="700" t="s">
        <v>698</v>
      </c>
      <c r="M93" s="700" t="s">
        <v>699</v>
      </c>
      <c r="N93" s="699"/>
      <c r="O93" s="699" t="s">
        <v>515</v>
      </c>
      <c r="P93" s="701">
        <v>0.15</v>
      </c>
      <c r="Q93" s="699" t="s">
        <v>434</v>
      </c>
      <c r="R93" s="702">
        <v>25119.97</v>
      </c>
      <c r="S93" s="702"/>
      <c r="T93" s="702">
        <v>25119.97</v>
      </c>
      <c r="U93" s="702">
        <v>59514.18</v>
      </c>
      <c r="V93" s="702">
        <v>59026.18</v>
      </c>
      <c r="W93" s="702">
        <v>27443.02</v>
      </c>
      <c r="X93" s="703">
        <v>1</v>
      </c>
      <c r="Y93" s="703">
        <v>31</v>
      </c>
      <c r="Z93" s="703">
        <v>0</v>
      </c>
    </row>
    <row r="94" spans="1:26">
      <c r="A94" s="694" t="s">
        <v>765</v>
      </c>
      <c r="B94" s="694" t="s">
        <v>227</v>
      </c>
      <c r="C94" s="694" t="s">
        <v>766</v>
      </c>
      <c r="D94" s="694" t="s">
        <v>391</v>
      </c>
      <c r="E94" s="694" t="s">
        <v>377</v>
      </c>
      <c r="F94" s="694" t="s">
        <v>378</v>
      </c>
      <c r="G94" s="694" t="s">
        <v>379</v>
      </c>
      <c r="H94" s="694" t="s">
        <v>380</v>
      </c>
      <c r="I94" s="694" t="s">
        <v>381</v>
      </c>
      <c r="J94" s="694" t="s">
        <v>382</v>
      </c>
      <c r="K94" s="695" t="s">
        <v>767</v>
      </c>
      <c r="L94" s="695" t="s">
        <v>768</v>
      </c>
      <c r="M94" s="695" t="s">
        <v>769</v>
      </c>
      <c r="N94" s="694" t="s">
        <v>770</v>
      </c>
      <c r="O94" s="694" t="s">
        <v>387</v>
      </c>
      <c r="P94" s="696">
        <v>3.15</v>
      </c>
      <c r="Q94" s="694" t="s">
        <v>412</v>
      </c>
      <c r="R94" s="697">
        <v>16409.14</v>
      </c>
      <c r="S94" s="697">
        <v>8156.9</v>
      </c>
      <c r="T94" s="697">
        <v>24566.04</v>
      </c>
      <c r="U94" s="697">
        <v>52424.79</v>
      </c>
      <c r="V94" s="697">
        <v>52424.79</v>
      </c>
      <c r="W94" s="697">
        <v>27203.71</v>
      </c>
      <c r="X94" s="698">
        <v>0</v>
      </c>
      <c r="Y94" s="698">
        <v>44</v>
      </c>
      <c r="Z94" s="698">
        <v>24</v>
      </c>
    </row>
    <row r="95" spans="1:26">
      <c r="A95" s="699" t="s">
        <v>771</v>
      </c>
      <c r="B95" s="699" t="s">
        <v>228</v>
      </c>
      <c r="C95" s="699" t="s">
        <v>772</v>
      </c>
      <c r="D95" s="699" t="s">
        <v>376</v>
      </c>
      <c r="E95" s="699" t="s">
        <v>377</v>
      </c>
      <c r="F95" s="699" t="s">
        <v>378</v>
      </c>
      <c r="G95" s="699" t="s">
        <v>379</v>
      </c>
      <c r="H95" s="699" t="s">
        <v>380</v>
      </c>
      <c r="I95" s="699" t="s">
        <v>381</v>
      </c>
      <c r="J95" s="699" t="s">
        <v>382</v>
      </c>
      <c r="K95" s="700" t="s">
        <v>421</v>
      </c>
      <c r="L95" s="700" t="s">
        <v>441</v>
      </c>
      <c r="M95" s="700" t="s">
        <v>773</v>
      </c>
      <c r="N95" s="699" t="s">
        <v>774</v>
      </c>
      <c r="O95" s="699" t="s">
        <v>387</v>
      </c>
      <c r="P95" s="701">
        <v>6.06</v>
      </c>
      <c r="Q95" s="699" t="s">
        <v>412</v>
      </c>
      <c r="R95" s="702">
        <v>21252.9</v>
      </c>
      <c r="S95" s="702">
        <v>3225.94</v>
      </c>
      <c r="T95" s="702">
        <v>24478.84</v>
      </c>
      <c r="U95" s="702">
        <v>53439.14</v>
      </c>
      <c r="V95" s="702">
        <v>53239.14</v>
      </c>
      <c r="W95" s="702">
        <v>27037.87</v>
      </c>
      <c r="X95" s="703">
        <v>0</v>
      </c>
      <c r="Y95" s="703">
        <v>124</v>
      </c>
      <c r="Z95" s="703">
        <v>29</v>
      </c>
    </row>
    <row r="96" spans="1:26">
      <c r="A96" s="694" t="s">
        <v>775</v>
      </c>
      <c r="B96" s="694" t="s">
        <v>229</v>
      </c>
      <c r="C96" s="694" t="s">
        <v>776</v>
      </c>
      <c r="D96" s="694" t="s">
        <v>428</v>
      </c>
      <c r="E96" s="694" t="s">
        <v>377</v>
      </c>
      <c r="F96" s="694" t="s">
        <v>378</v>
      </c>
      <c r="G96" s="694" t="s">
        <v>392</v>
      </c>
      <c r="H96" s="694" t="s">
        <v>393</v>
      </c>
      <c r="I96" s="694" t="s">
        <v>400</v>
      </c>
      <c r="J96" s="694" t="s">
        <v>382</v>
      </c>
      <c r="K96" s="695" t="s">
        <v>499</v>
      </c>
      <c r="L96" s="695" t="s">
        <v>693</v>
      </c>
      <c r="M96" s="695" t="s">
        <v>777</v>
      </c>
      <c r="N96" s="694" t="s">
        <v>778</v>
      </c>
      <c r="O96" s="694" t="s">
        <v>515</v>
      </c>
      <c r="P96" s="696">
        <v>0.62</v>
      </c>
      <c r="Q96" s="694" t="s">
        <v>434</v>
      </c>
      <c r="R96" s="697">
        <v>23995.38</v>
      </c>
      <c r="S96" s="697">
        <v>1.95</v>
      </c>
      <c r="T96" s="697">
        <v>23997.33</v>
      </c>
      <c r="U96" s="697">
        <v>38060.75</v>
      </c>
      <c r="V96" s="697">
        <v>38060.75</v>
      </c>
      <c r="W96" s="697">
        <v>26509.69</v>
      </c>
      <c r="X96" s="698">
        <v>0</v>
      </c>
      <c r="Y96" s="698">
        <v>63</v>
      </c>
      <c r="Z96" s="698">
        <v>2</v>
      </c>
    </row>
    <row r="97" spans="1:26">
      <c r="A97" s="699" t="s">
        <v>779</v>
      </c>
      <c r="B97" s="699" t="s">
        <v>230</v>
      </c>
      <c r="C97" s="699" t="s">
        <v>780</v>
      </c>
      <c r="D97" s="699" t="s">
        <v>376</v>
      </c>
      <c r="E97" s="699" t="s">
        <v>377</v>
      </c>
      <c r="F97" s="699" t="s">
        <v>476</v>
      </c>
      <c r="G97" s="699" t="s">
        <v>477</v>
      </c>
      <c r="H97" s="699" t="s">
        <v>380</v>
      </c>
      <c r="I97" s="699" t="s">
        <v>498</v>
      </c>
      <c r="J97" s="699" t="s">
        <v>382</v>
      </c>
      <c r="K97" s="700" t="s">
        <v>767</v>
      </c>
      <c r="L97" s="700" t="s">
        <v>781</v>
      </c>
      <c r="M97" s="700" t="s">
        <v>782</v>
      </c>
      <c r="N97" s="699" t="s">
        <v>510</v>
      </c>
      <c r="O97" s="699" t="s">
        <v>387</v>
      </c>
      <c r="P97" s="701">
        <v>3.18</v>
      </c>
      <c r="Q97" s="699" t="s">
        <v>412</v>
      </c>
      <c r="R97" s="702">
        <v>12209.47</v>
      </c>
      <c r="S97" s="702">
        <v>11609.46</v>
      </c>
      <c r="T97" s="702">
        <v>23818.93</v>
      </c>
      <c r="U97" s="702">
        <v>41617.51</v>
      </c>
      <c r="V97" s="702">
        <v>40424.980000000003</v>
      </c>
      <c r="W97" s="702">
        <v>25544.59</v>
      </c>
      <c r="X97" s="703">
        <v>0</v>
      </c>
      <c r="Y97" s="703">
        <v>58</v>
      </c>
      <c r="Z97" s="703">
        <v>15</v>
      </c>
    </row>
    <row r="98" spans="1:26">
      <c r="A98" s="694" t="s">
        <v>149</v>
      </c>
      <c r="B98" s="694" t="s">
        <v>149</v>
      </c>
      <c r="C98" s="694" t="s">
        <v>149</v>
      </c>
      <c r="D98" s="694" t="s">
        <v>391</v>
      </c>
      <c r="E98" s="694" t="s">
        <v>377</v>
      </c>
      <c r="F98" s="694" t="s">
        <v>378</v>
      </c>
      <c r="G98" s="694" t="s">
        <v>379</v>
      </c>
      <c r="H98" s="694" t="s">
        <v>380</v>
      </c>
      <c r="I98" s="694" t="s">
        <v>381</v>
      </c>
      <c r="J98" s="694" t="s">
        <v>401</v>
      </c>
      <c r="K98" s="695" t="s">
        <v>452</v>
      </c>
      <c r="L98" s="695" t="s">
        <v>783</v>
      </c>
      <c r="M98" s="695" t="s">
        <v>784</v>
      </c>
      <c r="N98" s="694" t="s">
        <v>466</v>
      </c>
      <c r="O98" s="694" t="s">
        <v>491</v>
      </c>
      <c r="P98" s="696"/>
      <c r="Q98" s="694" t="s">
        <v>46</v>
      </c>
      <c r="R98" s="697">
        <v>22009.55</v>
      </c>
      <c r="S98" s="697">
        <v>1719.41</v>
      </c>
      <c r="T98" s="697">
        <v>23728.959999999999</v>
      </c>
      <c r="U98" s="697">
        <v>55743.01</v>
      </c>
      <c r="V98" s="697">
        <v>54981</v>
      </c>
      <c r="W98" s="697">
        <v>26995.29</v>
      </c>
      <c r="X98" s="698">
        <v>0</v>
      </c>
      <c r="Y98" s="698">
        <v>92</v>
      </c>
      <c r="Z98" s="698">
        <v>59</v>
      </c>
    </row>
    <row r="99" spans="1:26">
      <c r="A99" s="699" t="s">
        <v>785</v>
      </c>
      <c r="B99" s="699" t="s">
        <v>231</v>
      </c>
      <c r="C99" s="699" t="s">
        <v>786</v>
      </c>
      <c r="D99" s="699" t="s">
        <v>391</v>
      </c>
      <c r="E99" s="699" t="s">
        <v>377</v>
      </c>
      <c r="F99" s="699" t="s">
        <v>476</v>
      </c>
      <c r="G99" s="699" t="s">
        <v>477</v>
      </c>
      <c r="H99" s="699" t="s">
        <v>673</v>
      </c>
      <c r="I99" s="699" t="s">
        <v>764</v>
      </c>
      <c r="J99" s="699" t="s">
        <v>401</v>
      </c>
      <c r="K99" s="700" t="s">
        <v>402</v>
      </c>
      <c r="L99" s="700" t="s">
        <v>530</v>
      </c>
      <c r="M99" s="700" t="s">
        <v>787</v>
      </c>
      <c r="N99" s="699" t="s">
        <v>510</v>
      </c>
      <c r="O99" s="699" t="s">
        <v>677</v>
      </c>
      <c r="P99" s="701"/>
      <c r="Q99" s="699" t="s">
        <v>46</v>
      </c>
      <c r="R99" s="702">
        <v>8217.82</v>
      </c>
      <c r="S99" s="702">
        <v>15466.71</v>
      </c>
      <c r="T99" s="702">
        <v>23684.53</v>
      </c>
      <c r="U99" s="702">
        <v>37230.06</v>
      </c>
      <c r="V99" s="702">
        <v>37230.06</v>
      </c>
      <c r="W99" s="702">
        <v>26764.58</v>
      </c>
      <c r="X99" s="703">
        <v>0</v>
      </c>
      <c r="Y99" s="703">
        <v>31</v>
      </c>
      <c r="Z99" s="703">
        <v>40</v>
      </c>
    </row>
    <row r="100" spans="1:26">
      <c r="A100" s="694" t="s">
        <v>788</v>
      </c>
      <c r="B100" s="694" t="s">
        <v>232</v>
      </c>
      <c r="C100" s="694" t="s">
        <v>789</v>
      </c>
      <c r="D100" s="694" t="s">
        <v>376</v>
      </c>
      <c r="E100" s="694" t="s">
        <v>377</v>
      </c>
      <c r="F100" s="694" t="s">
        <v>378</v>
      </c>
      <c r="G100" s="694" t="s">
        <v>379</v>
      </c>
      <c r="H100" s="694" t="s">
        <v>380</v>
      </c>
      <c r="I100" s="694" t="s">
        <v>429</v>
      </c>
      <c r="J100" s="694" t="s">
        <v>382</v>
      </c>
      <c r="K100" s="695" t="s">
        <v>767</v>
      </c>
      <c r="L100" s="695" t="s">
        <v>768</v>
      </c>
      <c r="M100" s="695" t="s">
        <v>790</v>
      </c>
      <c r="N100" s="694" t="s">
        <v>774</v>
      </c>
      <c r="O100" s="694" t="s">
        <v>387</v>
      </c>
      <c r="P100" s="696">
        <v>3.13</v>
      </c>
      <c r="Q100" s="694" t="s">
        <v>412</v>
      </c>
      <c r="R100" s="697">
        <v>18892.41</v>
      </c>
      <c r="S100" s="697">
        <v>4707.97</v>
      </c>
      <c r="T100" s="697">
        <v>23600.38</v>
      </c>
      <c r="U100" s="697">
        <v>45959.85</v>
      </c>
      <c r="V100" s="697">
        <v>45959.85</v>
      </c>
      <c r="W100" s="697">
        <v>28450.76</v>
      </c>
      <c r="X100" s="698">
        <v>0</v>
      </c>
      <c r="Y100" s="698">
        <v>39</v>
      </c>
      <c r="Z100" s="698">
        <v>24</v>
      </c>
    </row>
    <row r="101" spans="1:26">
      <c r="A101" s="699" t="s">
        <v>791</v>
      </c>
      <c r="B101" s="699" t="s">
        <v>233</v>
      </c>
      <c r="C101" s="699" t="s">
        <v>792</v>
      </c>
      <c r="D101" s="699" t="s">
        <v>376</v>
      </c>
      <c r="E101" s="699" t="s">
        <v>377</v>
      </c>
      <c r="F101" s="699" t="s">
        <v>378</v>
      </c>
      <c r="G101" s="699" t="s">
        <v>392</v>
      </c>
      <c r="H101" s="699" t="s">
        <v>393</v>
      </c>
      <c r="I101" s="699" t="s">
        <v>381</v>
      </c>
      <c r="J101" s="699" t="s">
        <v>382</v>
      </c>
      <c r="K101" s="700" t="s">
        <v>626</v>
      </c>
      <c r="L101" s="700" t="s">
        <v>793</v>
      </c>
      <c r="M101" s="700" t="s">
        <v>794</v>
      </c>
      <c r="N101" s="699" t="s">
        <v>795</v>
      </c>
      <c r="O101" s="699" t="s">
        <v>491</v>
      </c>
      <c r="P101" s="701">
        <v>0.48</v>
      </c>
      <c r="Q101" s="699" t="s">
        <v>434</v>
      </c>
      <c r="R101" s="702">
        <v>22949.69</v>
      </c>
      <c r="S101" s="702">
        <v>553.11</v>
      </c>
      <c r="T101" s="702">
        <v>23502.799999999999</v>
      </c>
      <c r="U101" s="702">
        <v>51346.11</v>
      </c>
      <c r="V101" s="702">
        <v>51346.11</v>
      </c>
      <c r="W101" s="702">
        <v>26452.55</v>
      </c>
      <c r="X101" s="703">
        <v>1</v>
      </c>
      <c r="Y101" s="703">
        <v>43</v>
      </c>
      <c r="Z101" s="703">
        <v>3</v>
      </c>
    </row>
    <row r="102" spans="1:26" ht="25.5">
      <c r="A102" s="694" t="s">
        <v>796</v>
      </c>
      <c r="B102" s="694" t="s">
        <v>234</v>
      </c>
      <c r="C102" s="694" t="s">
        <v>797</v>
      </c>
      <c r="D102" s="694" t="s">
        <v>391</v>
      </c>
      <c r="E102" s="694" t="s">
        <v>377</v>
      </c>
      <c r="F102" s="694" t="s">
        <v>378</v>
      </c>
      <c r="G102" s="694" t="s">
        <v>392</v>
      </c>
      <c r="H102" s="694" t="s">
        <v>393</v>
      </c>
      <c r="I102" s="694" t="s">
        <v>381</v>
      </c>
      <c r="J102" s="694" t="s">
        <v>382</v>
      </c>
      <c r="K102" s="695" t="s">
        <v>585</v>
      </c>
      <c r="L102" s="695" t="s">
        <v>698</v>
      </c>
      <c r="M102" s="695" t="s">
        <v>798</v>
      </c>
      <c r="N102" s="694" t="s">
        <v>799</v>
      </c>
      <c r="O102" s="694" t="s">
        <v>387</v>
      </c>
      <c r="P102" s="696">
        <v>0.33</v>
      </c>
      <c r="Q102" s="694" t="s">
        <v>434</v>
      </c>
      <c r="R102" s="697">
        <v>23235.51</v>
      </c>
      <c r="S102" s="697">
        <v>90.02</v>
      </c>
      <c r="T102" s="697">
        <v>23325.53</v>
      </c>
      <c r="U102" s="697">
        <v>35738.26</v>
      </c>
      <c r="V102" s="697">
        <v>35738.26</v>
      </c>
      <c r="W102" s="697">
        <v>25287.71</v>
      </c>
      <c r="X102" s="698">
        <v>1</v>
      </c>
      <c r="Y102" s="698">
        <v>28</v>
      </c>
      <c r="Z102" s="698">
        <v>10</v>
      </c>
    </row>
    <row r="103" spans="1:26">
      <c r="A103" s="699" t="s">
        <v>800</v>
      </c>
      <c r="B103" s="699" t="s">
        <v>235</v>
      </c>
      <c r="C103" s="699" t="s">
        <v>801</v>
      </c>
      <c r="D103" s="699" t="s">
        <v>391</v>
      </c>
      <c r="E103" s="699" t="s">
        <v>377</v>
      </c>
      <c r="F103" s="699" t="s">
        <v>378</v>
      </c>
      <c r="G103" s="699" t="s">
        <v>392</v>
      </c>
      <c r="H103" s="699" t="s">
        <v>393</v>
      </c>
      <c r="I103" s="699" t="s">
        <v>400</v>
      </c>
      <c r="J103" s="699" t="s">
        <v>382</v>
      </c>
      <c r="K103" s="700" t="s">
        <v>408</v>
      </c>
      <c r="L103" s="700" t="s">
        <v>802</v>
      </c>
      <c r="M103" s="700" t="s">
        <v>803</v>
      </c>
      <c r="N103" s="699" t="s">
        <v>804</v>
      </c>
      <c r="O103" s="699" t="s">
        <v>387</v>
      </c>
      <c r="P103" s="701">
        <v>2.4900000000000002</v>
      </c>
      <c r="Q103" s="699" t="s">
        <v>434</v>
      </c>
      <c r="R103" s="702">
        <v>23271.59</v>
      </c>
      <c r="S103" s="702">
        <v>53.29</v>
      </c>
      <c r="T103" s="702">
        <v>23324.880000000001</v>
      </c>
      <c r="U103" s="702">
        <v>48286.55</v>
      </c>
      <c r="V103" s="702">
        <v>46758.25</v>
      </c>
      <c r="W103" s="702">
        <v>25161.51</v>
      </c>
      <c r="X103" s="703">
        <v>0</v>
      </c>
      <c r="Y103" s="703">
        <v>129</v>
      </c>
      <c r="Z103" s="703">
        <v>7</v>
      </c>
    </row>
    <row r="104" spans="1:26">
      <c r="A104" s="694" t="s">
        <v>805</v>
      </c>
      <c r="B104" s="694" t="s">
        <v>236</v>
      </c>
      <c r="C104" s="694" t="s">
        <v>806</v>
      </c>
      <c r="D104" s="694" t="s">
        <v>376</v>
      </c>
      <c r="E104" s="694" t="s">
        <v>377</v>
      </c>
      <c r="F104" s="694" t="s">
        <v>476</v>
      </c>
      <c r="G104" s="694" t="s">
        <v>477</v>
      </c>
      <c r="H104" s="694" t="s">
        <v>380</v>
      </c>
      <c r="I104" s="694" t="s">
        <v>764</v>
      </c>
      <c r="J104" s="694" t="s">
        <v>401</v>
      </c>
      <c r="K104" s="695" t="s">
        <v>430</v>
      </c>
      <c r="L104" s="695" t="s">
        <v>431</v>
      </c>
      <c r="M104" s="695" t="s">
        <v>462</v>
      </c>
      <c r="N104" s="694" t="s">
        <v>510</v>
      </c>
      <c r="O104" s="694" t="s">
        <v>807</v>
      </c>
      <c r="P104" s="696"/>
      <c r="Q104" s="694" t="s">
        <v>46</v>
      </c>
      <c r="R104" s="697">
        <v>22158.240000000002</v>
      </c>
      <c r="S104" s="697">
        <v>1141.0899999999999</v>
      </c>
      <c r="T104" s="697">
        <v>23299.33</v>
      </c>
      <c r="U104" s="697">
        <v>52303.57</v>
      </c>
      <c r="V104" s="697">
        <v>52303.57</v>
      </c>
      <c r="W104" s="697">
        <v>25305.55</v>
      </c>
      <c r="X104" s="698">
        <v>0</v>
      </c>
      <c r="Y104" s="698">
        <v>71</v>
      </c>
      <c r="Z104" s="698">
        <v>20</v>
      </c>
    </row>
    <row r="105" spans="1:26" ht="25.5">
      <c r="A105" s="699" t="s">
        <v>808</v>
      </c>
      <c r="B105" s="699" t="s">
        <v>237</v>
      </c>
      <c r="C105" s="699" t="s">
        <v>809</v>
      </c>
      <c r="D105" s="699" t="s">
        <v>376</v>
      </c>
      <c r="E105" s="699" t="s">
        <v>377</v>
      </c>
      <c r="F105" s="699" t="s">
        <v>378</v>
      </c>
      <c r="G105" s="699" t="s">
        <v>379</v>
      </c>
      <c r="H105" s="699" t="s">
        <v>380</v>
      </c>
      <c r="I105" s="699" t="s">
        <v>446</v>
      </c>
      <c r="J105" s="699" t="s">
        <v>382</v>
      </c>
      <c r="K105" s="700" t="s">
        <v>585</v>
      </c>
      <c r="L105" s="700" t="s">
        <v>810</v>
      </c>
      <c r="M105" s="700" t="s">
        <v>811</v>
      </c>
      <c r="N105" s="699" t="s">
        <v>812</v>
      </c>
      <c r="O105" s="699" t="s">
        <v>515</v>
      </c>
      <c r="P105" s="701">
        <v>2.2200000000000002</v>
      </c>
      <c r="Q105" s="699" t="s">
        <v>434</v>
      </c>
      <c r="R105" s="702">
        <v>22124.18</v>
      </c>
      <c r="S105" s="702">
        <v>633.27</v>
      </c>
      <c r="T105" s="702">
        <v>22757.45</v>
      </c>
      <c r="U105" s="702">
        <v>46546.8</v>
      </c>
      <c r="V105" s="702">
        <v>46374.8</v>
      </c>
      <c r="W105" s="702">
        <v>28465.01</v>
      </c>
      <c r="X105" s="703">
        <v>1</v>
      </c>
      <c r="Y105" s="703">
        <v>91</v>
      </c>
      <c r="Z105" s="703">
        <v>10</v>
      </c>
    </row>
    <row r="106" spans="1:26">
      <c r="A106" s="694" t="s">
        <v>813</v>
      </c>
      <c r="B106" s="694" t="s">
        <v>238</v>
      </c>
      <c r="C106" s="694" t="s">
        <v>814</v>
      </c>
      <c r="D106" s="694" t="s">
        <v>391</v>
      </c>
      <c r="E106" s="694" t="s">
        <v>377</v>
      </c>
      <c r="F106" s="694" t="s">
        <v>378</v>
      </c>
      <c r="G106" s="694" t="s">
        <v>392</v>
      </c>
      <c r="H106" s="694" t="s">
        <v>393</v>
      </c>
      <c r="I106" s="694" t="s">
        <v>381</v>
      </c>
      <c r="J106" s="694" t="s">
        <v>382</v>
      </c>
      <c r="K106" s="695" t="s">
        <v>402</v>
      </c>
      <c r="L106" s="695" t="s">
        <v>530</v>
      </c>
      <c r="M106" s="695" t="s">
        <v>815</v>
      </c>
      <c r="N106" s="694" t="s">
        <v>816</v>
      </c>
      <c r="O106" s="694" t="s">
        <v>387</v>
      </c>
      <c r="P106" s="696">
        <v>4.1100000000000003</v>
      </c>
      <c r="Q106" s="694" t="s">
        <v>412</v>
      </c>
      <c r="R106" s="697">
        <v>16215.41</v>
      </c>
      <c r="S106" s="697">
        <v>6420.39</v>
      </c>
      <c r="T106" s="697">
        <v>22635.8</v>
      </c>
      <c r="U106" s="697">
        <v>39284.800000000003</v>
      </c>
      <c r="V106" s="697">
        <v>39284.800000000003</v>
      </c>
      <c r="W106" s="697">
        <v>26321.01</v>
      </c>
      <c r="X106" s="698">
        <v>0</v>
      </c>
      <c r="Y106" s="698">
        <v>133</v>
      </c>
      <c r="Z106" s="698">
        <v>24</v>
      </c>
    </row>
    <row r="107" spans="1:26" ht="25.5">
      <c r="A107" s="699" t="s">
        <v>817</v>
      </c>
      <c r="B107" s="699" t="s">
        <v>239</v>
      </c>
      <c r="C107" s="699" t="s">
        <v>818</v>
      </c>
      <c r="D107" s="699" t="s">
        <v>376</v>
      </c>
      <c r="E107" s="699" t="s">
        <v>377</v>
      </c>
      <c r="F107" s="699" t="s">
        <v>378</v>
      </c>
      <c r="G107" s="699" t="s">
        <v>379</v>
      </c>
      <c r="H107" s="699" t="s">
        <v>380</v>
      </c>
      <c r="I107" s="699" t="s">
        <v>446</v>
      </c>
      <c r="J107" s="699" t="s">
        <v>382</v>
      </c>
      <c r="K107" s="700" t="s">
        <v>499</v>
      </c>
      <c r="L107" s="700" t="s">
        <v>819</v>
      </c>
      <c r="M107" s="700" t="s">
        <v>820</v>
      </c>
      <c r="N107" s="699" t="s">
        <v>821</v>
      </c>
      <c r="O107" s="699" t="s">
        <v>515</v>
      </c>
      <c r="P107" s="701">
        <v>1.1200000000000001</v>
      </c>
      <c r="Q107" s="699" t="s">
        <v>434</v>
      </c>
      <c r="R107" s="702">
        <v>22401.79</v>
      </c>
      <c r="S107" s="702">
        <v>145.51</v>
      </c>
      <c r="T107" s="702">
        <v>22547.3</v>
      </c>
      <c r="U107" s="702">
        <v>40648.93</v>
      </c>
      <c r="V107" s="702">
        <v>40648.93</v>
      </c>
      <c r="W107" s="702">
        <v>28990.9</v>
      </c>
      <c r="X107" s="703">
        <v>0</v>
      </c>
      <c r="Y107" s="703">
        <v>80</v>
      </c>
      <c r="Z107" s="703">
        <v>5</v>
      </c>
    </row>
    <row r="108" spans="1:26">
      <c r="A108" s="694" t="s">
        <v>822</v>
      </c>
      <c r="B108" s="694" t="s">
        <v>240</v>
      </c>
      <c r="C108" s="694" t="s">
        <v>823</v>
      </c>
      <c r="D108" s="694" t="s">
        <v>391</v>
      </c>
      <c r="E108" s="694" t="s">
        <v>377</v>
      </c>
      <c r="F108" s="694" t="s">
        <v>378</v>
      </c>
      <c r="G108" s="694" t="s">
        <v>379</v>
      </c>
      <c r="H108" s="694" t="s">
        <v>380</v>
      </c>
      <c r="I108" s="694" t="s">
        <v>429</v>
      </c>
      <c r="J108" s="694" t="s">
        <v>382</v>
      </c>
      <c r="K108" s="695" t="s">
        <v>408</v>
      </c>
      <c r="L108" s="695" t="s">
        <v>469</v>
      </c>
      <c r="M108" s="695" t="s">
        <v>824</v>
      </c>
      <c r="N108" s="694" t="s">
        <v>825</v>
      </c>
      <c r="O108" s="694" t="s">
        <v>387</v>
      </c>
      <c r="P108" s="696">
        <v>2.87</v>
      </c>
      <c r="Q108" s="694" t="s">
        <v>412</v>
      </c>
      <c r="R108" s="697">
        <v>18965.78</v>
      </c>
      <c r="S108" s="697">
        <v>3314.92</v>
      </c>
      <c r="T108" s="697">
        <v>22280.7</v>
      </c>
      <c r="U108" s="697">
        <v>53812.08</v>
      </c>
      <c r="V108" s="697">
        <v>55377.43</v>
      </c>
      <c r="W108" s="697">
        <v>28876.69</v>
      </c>
      <c r="X108" s="698">
        <v>0</v>
      </c>
      <c r="Y108" s="698">
        <v>78</v>
      </c>
      <c r="Z108" s="698">
        <v>53</v>
      </c>
    </row>
    <row r="109" spans="1:26">
      <c r="A109" s="699" t="s">
        <v>826</v>
      </c>
      <c r="B109" s="699" t="s">
        <v>241</v>
      </c>
      <c r="C109" s="699" t="s">
        <v>827</v>
      </c>
      <c r="D109" s="699" t="s">
        <v>391</v>
      </c>
      <c r="E109" s="699" t="s">
        <v>377</v>
      </c>
      <c r="F109" s="699" t="s">
        <v>378</v>
      </c>
      <c r="G109" s="699" t="s">
        <v>392</v>
      </c>
      <c r="H109" s="699" t="s">
        <v>393</v>
      </c>
      <c r="I109" s="699" t="s">
        <v>381</v>
      </c>
      <c r="J109" s="699" t="s">
        <v>382</v>
      </c>
      <c r="K109" s="700" t="s">
        <v>408</v>
      </c>
      <c r="L109" s="700" t="s">
        <v>828</v>
      </c>
      <c r="M109" s="700" t="s">
        <v>829</v>
      </c>
      <c r="N109" s="699" t="s">
        <v>830</v>
      </c>
      <c r="O109" s="699" t="s">
        <v>387</v>
      </c>
      <c r="P109" s="701">
        <v>2.2999999999999998</v>
      </c>
      <c r="Q109" s="699" t="s">
        <v>434</v>
      </c>
      <c r="R109" s="702">
        <v>18713.2</v>
      </c>
      <c r="S109" s="702">
        <v>3476.67</v>
      </c>
      <c r="T109" s="702">
        <v>22189.87</v>
      </c>
      <c r="U109" s="702">
        <v>36108.1</v>
      </c>
      <c r="V109" s="702">
        <v>40203.4</v>
      </c>
      <c r="W109" s="702">
        <v>23739.98</v>
      </c>
      <c r="X109" s="703">
        <v>0</v>
      </c>
      <c r="Y109" s="703">
        <v>156</v>
      </c>
      <c r="Z109" s="703">
        <v>75</v>
      </c>
    </row>
    <row r="110" spans="1:26">
      <c r="A110" s="694" t="s">
        <v>831</v>
      </c>
      <c r="B110" s="694" t="s">
        <v>242</v>
      </c>
      <c r="C110" s="694" t="s">
        <v>832</v>
      </c>
      <c r="D110" s="694" t="s">
        <v>391</v>
      </c>
      <c r="E110" s="694" t="s">
        <v>377</v>
      </c>
      <c r="F110" s="694" t="s">
        <v>378</v>
      </c>
      <c r="G110" s="694" t="s">
        <v>392</v>
      </c>
      <c r="H110" s="694" t="s">
        <v>393</v>
      </c>
      <c r="I110" s="694" t="s">
        <v>381</v>
      </c>
      <c r="J110" s="694" t="s">
        <v>382</v>
      </c>
      <c r="K110" s="695" t="s">
        <v>585</v>
      </c>
      <c r="L110" s="695" t="s">
        <v>698</v>
      </c>
      <c r="M110" s="695" t="s">
        <v>833</v>
      </c>
      <c r="N110" s="694" t="s">
        <v>623</v>
      </c>
      <c r="O110" s="694" t="s">
        <v>515</v>
      </c>
      <c r="P110" s="696">
        <v>0.63</v>
      </c>
      <c r="Q110" s="694" t="s">
        <v>434</v>
      </c>
      <c r="R110" s="697">
        <v>21886.93</v>
      </c>
      <c r="S110" s="697">
        <v>257.3</v>
      </c>
      <c r="T110" s="697">
        <v>22144.23</v>
      </c>
      <c r="U110" s="697">
        <v>38217.17</v>
      </c>
      <c r="V110" s="697">
        <v>38217.17</v>
      </c>
      <c r="W110" s="697">
        <v>24101.57</v>
      </c>
      <c r="X110" s="698">
        <v>1</v>
      </c>
      <c r="Y110" s="698">
        <v>37</v>
      </c>
      <c r="Z110" s="698">
        <v>16</v>
      </c>
    </row>
    <row r="111" spans="1:26">
      <c r="A111" s="699" t="s">
        <v>834</v>
      </c>
      <c r="B111" s="699" t="s">
        <v>243</v>
      </c>
      <c r="C111" s="699" t="s">
        <v>835</v>
      </c>
      <c r="D111" s="699" t="s">
        <v>391</v>
      </c>
      <c r="E111" s="699" t="s">
        <v>377</v>
      </c>
      <c r="F111" s="699" t="s">
        <v>378</v>
      </c>
      <c r="G111" s="699" t="s">
        <v>379</v>
      </c>
      <c r="H111" s="699" t="s">
        <v>380</v>
      </c>
      <c r="I111" s="699" t="s">
        <v>400</v>
      </c>
      <c r="J111" s="699" t="s">
        <v>382</v>
      </c>
      <c r="K111" s="700" t="s">
        <v>408</v>
      </c>
      <c r="L111" s="700" t="s">
        <v>469</v>
      </c>
      <c r="M111" s="700" t="s">
        <v>836</v>
      </c>
      <c r="N111" s="699" t="s">
        <v>837</v>
      </c>
      <c r="O111" s="699" t="s">
        <v>387</v>
      </c>
      <c r="P111" s="701">
        <v>1.89</v>
      </c>
      <c r="Q111" s="699" t="s">
        <v>434</v>
      </c>
      <c r="R111" s="702">
        <v>21884.82</v>
      </c>
      <c r="S111" s="702">
        <v>258.45</v>
      </c>
      <c r="T111" s="702">
        <v>22143.27</v>
      </c>
      <c r="U111" s="702">
        <v>49911.12</v>
      </c>
      <c r="V111" s="702">
        <v>49614.18</v>
      </c>
      <c r="W111" s="702">
        <v>24793.56</v>
      </c>
      <c r="X111" s="703">
        <v>0</v>
      </c>
      <c r="Y111" s="703">
        <v>105</v>
      </c>
      <c r="Z111" s="703">
        <v>10</v>
      </c>
    </row>
    <row r="112" spans="1:26">
      <c r="A112" s="694" t="s">
        <v>838</v>
      </c>
      <c r="B112" s="694" t="s">
        <v>244</v>
      </c>
      <c r="C112" s="694" t="s">
        <v>839</v>
      </c>
      <c r="D112" s="694" t="s">
        <v>428</v>
      </c>
      <c r="E112" s="694" t="s">
        <v>377</v>
      </c>
      <c r="F112" s="694" t="s">
        <v>378</v>
      </c>
      <c r="G112" s="694" t="s">
        <v>379</v>
      </c>
      <c r="H112" s="694" t="s">
        <v>380</v>
      </c>
      <c r="I112" s="694" t="s">
        <v>429</v>
      </c>
      <c r="J112" s="694" t="s">
        <v>382</v>
      </c>
      <c r="K112" s="695" t="s">
        <v>421</v>
      </c>
      <c r="L112" s="695" t="s">
        <v>441</v>
      </c>
      <c r="M112" s="695" t="s">
        <v>840</v>
      </c>
      <c r="N112" s="694" t="s">
        <v>841</v>
      </c>
      <c r="O112" s="694" t="s">
        <v>387</v>
      </c>
      <c r="P112" s="696">
        <v>0.41</v>
      </c>
      <c r="Q112" s="694" t="s">
        <v>434</v>
      </c>
      <c r="R112" s="697">
        <v>21987.51</v>
      </c>
      <c r="S112" s="697">
        <v>96.43</v>
      </c>
      <c r="T112" s="697">
        <v>22083.94</v>
      </c>
      <c r="U112" s="697">
        <v>69954.53</v>
      </c>
      <c r="V112" s="697">
        <v>69954.53</v>
      </c>
      <c r="W112" s="697">
        <v>27282.12</v>
      </c>
      <c r="X112" s="698">
        <v>0</v>
      </c>
      <c r="Y112" s="698">
        <v>34</v>
      </c>
      <c r="Z112" s="698">
        <v>7</v>
      </c>
    </row>
    <row r="113" spans="1:26">
      <c r="A113" s="699" t="s">
        <v>842</v>
      </c>
      <c r="B113" s="699" t="s">
        <v>245</v>
      </c>
      <c r="C113" s="699" t="s">
        <v>843</v>
      </c>
      <c r="D113" s="699" t="s">
        <v>376</v>
      </c>
      <c r="E113" s="699" t="s">
        <v>377</v>
      </c>
      <c r="F113" s="699" t="s">
        <v>476</v>
      </c>
      <c r="G113" s="699" t="s">
        <v>477</v>
      </c>
      <c r="H113" s="699" t="s">
        <v>380</v>
      </c>
      <c r="I113" s="699" t="s">
        <v>498</v>
      </c>
      <c r="J113" s="699" t="s">
        <v>382</v>
      </c>
      <c r="K113" s="700" t="s">
        <v>430</v>
      </c>
      <c r="L113" s="700" t="s">
        <v>844</v>
      </c>
      <c r="M113" s="700" t="s">
        <v>845</v>
      </c>
      <c r="N113" s="699" t="s">
        <v>510</v>
      </c>
      <c r="O113" s="699" t="s">
        <v>387</v>
      </c>
      <c r="P113" s="701">
        <v>3.48</v>
      </c>
      <c r="Q113" s="699" t="s">
        <v>412</v>
      </c>
      <c r="R113" s="702">
        <v>10378.34</v>
      </c>
      <c r="S113" s="702">
        <v>11594.28</v>
      </c>
      <c r="T113" s="702">
        <v>21972.62</v>
      </c>
      <c r="U113" s="702">
        <v>36453.11</v>
      </c>
      <c r="V113" s="702">
        <v>36072.75</v>
      </c>
      <c r="W113" s="702">
        <v>23965.87</v>
      </c>
      <c r="X113" s="703">
        <v>0</v>
      </c>
      <c r="Y113" s="703">
        <v>170</v>
      </c>
      <c r="Z113" s="703">
        <v>64</v>
      </c>
    </row>
    <row r="114" spans="1:26">
      <c r="A114" s="694" t="s">
        <v>846</v>
      </c>
      <c r="B114" s="694" t="s">
        <v>246</v>
      </c>
      <c r="C114" s="694" t="s">
        <v>847</v>
      </c>
      <c r="D114" s="694" t="s">
        <v>428</v>
      </c>
      <c r="E114" s="694" t="s">
        <v>377</v>
      </c>
      <c r="F114" s="694" t="s">
        <v>378</v>
      </c>
      <c r="G114" s="694" t="s">
        <v>379</v>
      </c>
      <c r="H114" s="694" t="s">
        <v>380</v>
      </c>
      <c r="I114" s="694" t="s">
        <v>400</v>
      </c>
      <c r="J114" s="694" t="s">
        <v>382</v>
      </c>
      <c r="K114" s="695" t="s">
        <v>383</v>
      </c>
      <c r="L114" s="695" t="s">
        <v>848</v>
      </c>
      <c r="M114" s="695" t="s">
        <v>849</v>
      </c>
      <c r="N114" s="694" t="s">
        <v>850</v>
      </c>
      <c r="O114" s="694" t="s">
        <v>515</v>
      </c>
      <c r="P114" s="696">
        <v>0.41</v>
      </c>
      <c r="Q114" s="694" t="s">
        <v>434</v>
      </c>
      <c r="R114" s="697">
        <v>21294.85</v>
      </c>
      <c r="S114" s="697">
        <v>13.87</v>
      </c>
      <c r="T114" s="697">
        <v>21308.720000000001</v>
      </c>
      <c r="U114" s="697">
        <v>47373.120000000003</v>
      </c>
      <c r="V114" s="697">
        <v>47373.120000000003</v>
      </c>
      <c r="W114" s="697">
        <v>23675.41</v>
      </c>
      <c r="X114" s="698">
        <v>0</v>
      </c>
      <c r="Y114" s="698">
        <v>36</v>
      </c>
      <c r="Z114" s="698">
        <v>4</v>
      </c>
    </row>
    <row r="115" spans="1:26">
      <c r="A115" s="699" t="s">
        <v>851</v>
      </c>
      <c r="B115" s="699" t="s">
        <v>247</v>
      </c>
      <c r="C115" s="699" t="s">
        <v>852</v>
      </c>
      <c r="D115" s="699" t="s">
        <v>376</v>
      </c>
      <c r="E115" s="699" t="s">
        <v>377</v>
      </c>
      <c r="F115" s="699" t="s">
        <v>476</v>
      </c>
      <c r="G115" s="699" t="s">
        <v>477</v>
      </c>
      <c r="H115" s="699" t="s">
        <v>380</v>
      </c>
      <c r="I115" s="699" t="s">
        <v>764</v>
      </c>
      <c r="J115" s="699" t="s">
        <v>382</v>
      </c>
      <c r="K115" s="700" t="s">
        <v>408</v>
      </c>
      <c r="L115" s="700" t="s">
        <v>469</v>
      </c>
      <c r="M115" s="700" t="s">
        <v>853</v>
      </c>
      <c r="N115" s="699" t="s">
        <v>443</v>
      </c>
      <c r="O115" s="699" t="s">
        <v>387</v>
      </c>
      <c r="P115" s="701">
        <v>1.45</v>
      </c>
      <c r="Q115" s="699" t="s">
        <v>434</v>
      </c>
      <c r="R115" s="702">
        <v>18701.599999999999</v>
      </c>
      <c r="S115" s="702">
        <v>1066.27</v>
      </c>
      <c r="T115" s="702">
        <v>19767.87</v>
      </c>
      <c r="U115" s="702">
        <v>45717.2</v>
      </c>
      <c r="V115" s="702">
        <v>45408.2</v>
      </c>
      <c r="W115" s="702">
        <v>22067.87</v>
      </c>
      <c r="X115" s="703">
        <v>0</v>
      </c>
      <c r="Y115" s="703">
        <v>79</v>
      </c>
      <c r="Z115" s="703">
        <v>8</v>
      </c>
    </row>
    <row r="116" spans="1:26">
      <c r="A116" s="694" t="s">
        <v>854</v>
      </c>
      <c r="B116" s="694" t="s">
        <v>248</v>
      </c>
      <c r="C116" s="694" t="s">
        <v>855</v>
      </c>
      <c r="D116" s="694" t="s">
        <v>391</v>
      </c>
      <c r="E116" s="694" t="s">
        <v>377</v>
      </c>
      <c r="F116" s="694" t="s">
        <v>378</v>
      </c>
      <c r="G116" s="694" t="s">
        <v>379</v>
      </c>
      <c r="H116" s="694" t="s">
        <v>380</v>
      </c>
      <c r="I116" s="694" t="s">
        <v>381</v>
      </c>
      <c r="J116" s="694" t="s">
        <v>382</v>
      </c>
      <c r="K116" s="695" t="s">
        <v>421</v>
      </c>
      <c r="L116" s="695" t="s">
        <v>856</v>
      </c>
      <c r="M116" s="695" t="s">
        <v>857</v>
      </c>
      <c r="N116" s="694" t="s">
        <v>443</v>
      </c>
      <c r="O116" s="694" t="s">
        <v>387</v>
      </c>
      <c r="P116" s="696">
        <v>3.48</v>
      </c>
      <c r="Q116" s="694" t="s">
        <v>412</v>
      </c>
      <c r="R116" s="697">
        <v>7391.17</v>
      </c>
      <c r="S116" s="697">
        <v>12233.47</v>
      </c>
      <c r="T116" s="697">
        <v>19624.64</v>
      </c>
      <c r="U116" s="697">
        <v>34988.720000000001</v>
      </c>
      <c r="V116" s="697">
        <v>34958.720000000001</v>
      </c>
      <c r="W116" s="697">
        <v>22685.75</v>
      </c>
      <c r="X116" s="698">
        <v>0</v>
      </c>
      <c r="Y116" s="698">
        <v>53</v>
      </c>
      <c r="Z116" s="698">
        <v>75</v>
      </c>
    </row>
    <row r="117" spans="1:26">
      <c r="A117" s="699" t="s">
        <v>858</v>
      </c>
      <c r="B117" s="699" t="s">
        <v>249</v>
      </c>
      <c r="C117" s="699" t="s">
        <v>859</v>
      </c>
      <c r="D117" s="699" t="s">
        <v>391</v>
      </c>
      <c r="E117" s="699" t="s">
        <v>377</v>
      </c>
      <c r="F117" s="699" t="s">
        <v>476</v>
      </c>
      <c r="G117" s="699" t="s">
        <v>477</v>
      </c>
      <c r="H117" s="699" t="s">
        <v>380</v>
      </c>
      <c r="I117" s="699" t="s">
        <v>764</v>
      </c>
      <c r="J117" s="699" t="s">
        <v>382</v>
      </c>
      <c r="K117" s="700" t="s">
        <v>402</v>
      </c>
      <c r="L117" s="700" t="s">
        <v>674</v>
      </c>
      <c r="M117" s="700" t="s">
        <v>675</v>
      </c>
      <c r="N117" s="699" t="s">
        <v>860</v>
      </c>
      <c r="O117" s="699" t="s">
        <v>387</v>
      </c>
      <c r="P117" s="701"/>
      <c r="Q117" s="699" t="s">
        <v>46</v>
      </c>
      <c r="R117" s="702">
        <v>5177.55</v>
      </c>
      <c r="S117" s="702">
        <v>14404.12</v>
      </c>
      <c r="T117" s="702">
        <v>19581.669999999998</v>
      </c>
      <c r="U117" s="702">
        <v>30376.07</v>
      </c>
      <c r="V117" s="702">
        <v>30376.07</v>
      </c>
      <c r="W117" s="702">
        <v>21212.54</v>
      </c>
      <c r="X117" s="703">
        <v>0</v>
      </c>
      <c r="Y117" s="703">
        <v>156</v>
      </c>
      <c r="Z117" s="703">
        <v>45</v>
      </c>
    </row>
    <row r="118" spans="1:26">
      <c r="A118" s="694" t="s">
        <v>861</v>
      </c>
      <c r="B118" s="694" t="s">
        <v>250</v>
      </c>
      <c r="C118" s="694" t="s">
        <v>862</v>
      </c>
      <c r="D118" s="694" t="s">
        <v>376</v>
      </c>
      <c r="E118" s="694" t="s">
        <v>377</v>
      </c>
      <c r="F118" s="694" t="s">
        <v>378</v>
      </c>
      <c r="G118" s="694" t="s">
        <v>379</v>
      </c>
      <c r="H118" s="694" t="s">
        <v>380</v>
      </c>
      <c r="I118" s="694" t="s">
        <v>400</v>
      </c>
      <c r="J118" s="694" t="s">
        <v>382</v>
      </c>
      <c r="K118" s="695" t="s">
        <v>408</v>
      </c>
      <c r="L118" s="695" t="s">
        <v>547</v>
      </c>
      <c r="M118" s="695" t="s">
        <v>863</v>
      </c>
      <c r="N118" s="694" t="s">
        <v>864</v>
      </c>
      <c r="O118" s="694" t="s">
        <v>387</v>
      </c>
      <c r="P118" s="696">
        <v>3.43</v>
      </c>
      <c r="Q118" s="694" t="s">
        <v>412</v>
      </c>
      <c r="R118" s="697">
        <v>16099.94</v>
      </c>
      <c r="S118" s="697">
        <v>3048.13</v>
      </c>
      <c r="T118" s="697">
        <v>19148.07</v>
      </c>
      <c r="U118" s="697">
        <v>44980.800000000003</v>
      </c>
      <c r="V118" s="697">
        <v>44515.8</v>
      </c>
      <c r="W118" s="697">
        <v>21206.83</v>
      </c>
      <c r="X118" s="698">
        <v>0</v>
      </c>
      <c r="Y118" s="698">
        <v>158</v>
      </c>
      <c r="Z118" s="698">
        <v>17</v>
      </c>
    </row>
    <row r="119" spans="1:26">
      <c r="A119" s="699" t="s">
        <v>865</v>
      </c>
      <c r="B119" s="699" t="s">
        <v>251</v>
      </c>
      <c r="C119" s="699" t="s">
        <v>866</v>
      </c>
      <c r="D119" s="699" t="s">
        <v>376</v>
      </c>
      <c r="E119" s="699" t="s">
        <v>377</v>
      </c>
      <c r="F119" s="699" t="s">
        <v>378</v>
      </c>
      <c r="G119" s="699" t="s">
        <v>379</v>
      </c>
      <c r="H119" s="699" t="s">
        <v>380</v>
      </c>
      <c r="I119" s="699" t="s">
        <v>381</v>
      </c>
      <c r="J119" s="699" t="s">
        <v>382</v>
      </c>
      <c r="K119" s="700" t="s">
        <v>499</v>
      </c>
      <c r="L119" s="700" t="s">
        <v>693</v>
      </c>
      <c r="M119" s="700" t="s">
        <v>777</v>
      </c>
      <c r="N119" s="699" t="s">
        <v>867</v>
      </c>
      <c r="O119" s="699" t="s">
        <v>387</v>
      </c>
      <c r="P119" s="701">
        <v>1.23</v>
      </c>
      <c r="Q119" s="699" t="s">
        <v>434</v>
      </c>
      <c r="R119" s="702">
        <v>18507.86</v>
      </c>
      <c r="S119" s="702">
        <v>127.58</v>
      </c>
      <c r="T119" s="702">
        <v>18635.439999999999</v>
      </c>
      <c r="U119" s="702">
        <v>33942.6</v>
      </c>
      <c r="V119" s="702">
        <v>33142.6</v>
      </c>
      <c r="W119" s="702">
        <v>21103.93</v>
      </c>
      <c r="X119" s="703">
        <v>0</v>
      </c>
      <c r="Y119" s="703">
        <v>49</v>
      </c>
      <c r="Z119" s="703">
        <v>19</v>
      </c>
    </row>
    <row r="120" spans="1:26">
      <c r="A120" s="694" t="s">
        <v>868</v>
      </c>
      <c r="B120" s="694" t="s">
        <v>252</v>
      </c>
      <c r="C120" s="694" t="s">
        <v>869</v>
      </c>
      <c r="D120" s="694" t="s">
        <v>391</v>
      </c>
      <c r="E120" s="694" t="s">
        <v>377</v>
      </c>
      <c r="F120" s="694" t="s">
        <v>378</v>
      </c>
      <c r="G120" s="694" t="s">
        <v>392</v>
      </c>
      <c r="H120" s="694" t="s">
        <v>393</v>
      </c>
      <c r="I120" s="694" t="s">
        <v>429</v>
      </c>
      <c r="J120" s="694" t="s">
        <v>382</v>
      </c>
      <c r="K120" s="695" t="s">
        <v>626</v>
      </c>
      <c r="L120" s="695" t="s">
        <v>738</v>
      </c>
      <c r="M120" s="695" t="s">
        <v>739</v>
      </c>
      <c r="N120" s="694" t="s">
        <v>870</v>
      </c>
      <c r="O120" s="694" t="s">
        <v>515</v>
      </c>
      <c r="P120" s="696">
        <v>0.66</v>
      </c>
      <c r="Q120" s="694" t="s">
        <v>434</v>
      </c>
      <c r="R120" s="697">
        <v>17801.580000000002</v>
      </c>
      <c r="S120" s="697">
        <v>568.16</v>
      </c>
      <c r="T120" s="697">
        <v>18369.740000000002</v>
      </c>
      <c r="U120" s="697">
        <v>28356.959999999999</v>
      </c>
      <c r="V120" s="697">
        <v>28321.97</v>
      </c>
      <c r="W120" s="697">
        <v>20286.009999999998</v>
      </c>
      <c r="X120" s="698">
        <v>1</v>
      </c>
      <c r="Y120" s="698">
        <v>35</v>
      </c>
      <c r="Z120" s="698">
        <v>11</v>
      </c>
    </row>
    <row r="121" spans="1:26">
      <c r="A121" s="699" t="s">
        <v>871</v>
      </c>
      <c r="B121" s="699" t="s">
        <v>253</v>
      </c>
      <c r="C121" s="699" t="s">
        <v>872</v>
      </c>
      <c r="D121" s="699" t="s">
        <v>391</v>
      </c>
      <c r="E121" s="699" t="s">
        <v>377</v>
      </c>
      <c r="F121" s="699" t="s">
        <v>378</v>
      </c>
      <c r="G121" s="699" t="s">
        <v>392</v>
      </c>
      <c r="H121" s="699" t="s">
        <v>393</v>
      </c>
      <c r="I121" s="699" t="s">
        <v>381</v>
      </c>
      <c r="J121" s="699" t="s">
        <v>382</v>
      </c>
      <c r="K121" s="700" t="s">
        <v>585</v>
      </c>
      <c r="L121" s="700" t="s">
        <v>873</v>
      </c>
      <c r="M121" s="700" t="s">
        <v>874</v>
      </c>
      <c r="N121" s="699" t="s">
        <v>875</v>
      </c>
      <c r="O121" s="699" t="s">
        <v>515</v>
      </c>
      <c r="P121" s="701">
        <v>0.36</v>
      </c>
      <c r="Q121" s="699" t="s">
        <v>434</v>
      </c>
      <c r="R121" s="702">
        <v>18067.849999999999</v>
      </c>
      <c r="S121" s="702">
        <v>115.52</v>
      </c>
      <c r="T121" s="702">
        <v>18183.37</v>
      </c>
      <c r="U121" s="702">
        <v>36382.78</v>
      </c>
      <c r="V121" s="702">
        <v>36317.879999999997</v>
      </c>
      <c r="W121" s="702">
        <v>20467.240000000002</v>
      </c>
      <c r="X121" s="703">
        <v>1</v>
      </c>
      <c r="Y121" s="703">
        <v>56</v>
      </c>
      <c r="Z121" s="703">
        <v>3</v>
      </c>
    </row>
    <row r="122" spans="1:26">
      <c r="A122" s="694" t="s">
        <v>876</v>
      </c>
      <c r="B122" s="694" t="s">
        <v>254</v>
      </c>
      <c r="C122" s="694" t="s">
        <v>877</v>
      </c>
      <c r="D122" s="694" t="s">
        <v>428</v>
      </c>
      <c r="E122" s="694" t="s">
        <v>377</v>
      </c>
      <c r="F122" s="694" t="s">
        <v>378</v>
      </c>
      <c r="G122" s="694" t="s">
        <v>379</v>
      </c>
      <c r="H122" s="694" t="s">
        <v>380</v>
      </c>
      <c r="I122" s="694" t="s">
        <v>381</v>
      </c>
      <c r="J122" s="694" t="s">
        <v>382</v>
      </c>
      <c r="K122" s="695" t="s">
        <v>499</v>
      </c>
      <c r="L122" s="695" t="s">
        <v>878</v>
      </c>
      <c r="M122" s="695" t="s">
        <v>879</v>
      </c>
      <c r="N122" s="694" t="s">
        <v>639</v>
      </c>
      <c r="O122" s="694" t="s">
        <v>387</v>
      </c>
      <c r="P122" s="696">
        <v>16.68</v>
      </c>
      <c r="Q122" s="694" t="s">
        <v>388</v>
      </c>
      <c r="R122" s="697">
        <v>534.25</v>
      </c>
      <c r="S122" s="697">
        <v>17644.849999999999</v>
      </c>
      <c r="T122" s="697">
        <v>18179.099999999999</v>
      </c>
      <c r="U122" s="697">
        <v>28956.29</v>
      </c>
      <c r="V122" s="697">
        <v>28956.29</v>
      </c>
      <c r="W122" s="697">
        <v>23777.96</v>
      </c>
      <c r="X122" s="698">
        <v>0</v>
      </c>
      <c r="Y122" s="698">
        <v>4</v>
      </c>
      <c r="Z122" s="698">
        <v>16</v>
      </c>
    </row>
    <row r="123" spans="1:26">
      <c r="A123" s="699" t="s">
        <v>880</v>
      </c>
      <c r="B123" s="699" t="s">
        <v>255</v>
      </c>
      <c r="C123" s="699" t="s">
        <v>881</v>
      </c>
      <c r="D123" s="699" t="s">
        <v>428</v>
      </c>
      <c r="E123" s="699" t="s">
        <v>377</v>
      </c>
      <c r="F123" s="699" t="s">
        <v>378</v>
      </c>
      <c r="G123" s="699" t="s">
        <v>379</v>
      </c>
      <c r="H123" s="699" t="s">
        <v>380</v>
      </c>
      <c r="I123" s="699" t="s">
        <v>400</v>
      </c>
      <c r="J123" s="699" t="s">
        <v>382</v>
      </c>
      <c r="K123" s="700" t="s">
        <v>729</v>
      </c>
      <c r="L123" s="700" t="s">
        <v>882</v>
      </c>
      <c r="M123" s="700" t="s">
        <v>883</v>
      </c>
      <c r="N123" s="699" t="s">
        <v>884</v>
      </c>
      <c r="O123" s="699" t="s">
        <v>491</v>
      </c>
      <c r="P123" s="701">
        <v>0.82</v>
      </c>
      <c r="Q123" s="699" t="s">
        <v>434</v>
      </c>
      <c r="R123" s="702">
        <v>17797.259999999998</v>
      </c>
      <c r="S123" s="702">
        <v>232.26</v>
      </c>
      <c r="T123" s="702">
        <v>18029.52</v>
      </c>
      <c r="U123" s="702">
        <v>24522.38</v>
      </c>
      <c r="V123" s="702">
        <v>24392.38</v>
      </c>
      <c r="W123" s="702">
        <v>20010.439999999999</v>
      </c>
      <c r="X123" s="703">
        <v>0</v>
      </c>
      <c r="Y123" s="703">
        <v>43</v>
      </c>
      <c r="Z123" s="703">
        <v>10</v>
      </c>
    </row>
    <row r="124" spans="1:26">
      <c r="A124" s="694" t="s">
        <v>885</v>
      </c>
      <c r="B124" s="694" t="s">
        <v>256</v>
      </c>
      <c r="C124" s="694" t="s">
        <v>886</v>
      </c>
      <c r="D124" s="694" t="s">
        <v>391</v>
      </c>
      <c r="E124" s="694" t="s">
        <v>377</v>
      </c>
      <c r="F124" s="694" t="s">
        <v>378</v>
      </c>
      <c r="G124" s="694" t="s">
        <v>392</v>
      </c>
      <c r="H124" s="694" t="s">
        <v>393</v>
      </c>
      <c r="I124" s="694" t="s">
        <v>381</v>
      </c>
      <c r="J124" s="694" t="s">
        <v>382</v>
      </c>
      <c r="K124" s="695" t="s">
        <v>452</v>
      </c>
      <c r="L124" s="695" t="s">
        <v>674</v>
      </c>
      <c r="M124" s="695" t="s">
        <v>675</v>
      </c>
      <c r="N124" s="694" t="s">
        <v>443</v>
      </c>
      <c r="O124" s="694" t="s">
        <v>387</v>
      </c>
      <c r="P124" s="696">
        <v>3.03</v>
      </c>
      <c r="Q124" s="694" t="s">
        <v>412</v>
      </c>
      <c r="R124" s="697">
        <v>9676.16</v>
      </c>
      <c r="S124" s="697">
        <v>8245.7199999999993</v>
      </c>
      <c r="T124" s="697">
        <v>17921.88</v>
      </c>
      <c r="U124" s="697">
        <v>26982.19</v>
      </c>
      <c r="V124" s="697">
        <v>26980.93</v>
      </c>
      <c r="W124" s="697">
        <v>19702.189999999999</v>
      </c>
      <c r="X124" s="698">
        <v>0</v>
      </c>
      <c r="Y124" s="698">
        <v>156</v>
      </c>
      <c r="Z124" s="698">
        <v>29</v>
      </c>
    </row>
    <row r="125" spans="1:26">
      <c r="A125" s="699" t="s">
        <v>887</v>
      </c>
      <c r="B125" s="699" t="s">
        <v>257</v>
      </c>
      <c r="C125" s="699" t="s">
        <v>888</v>
      </c>
      <c r="D125" s="699" t="s">
        <v>376</v>
      </c>
      <c r="E125" s="699" t="s">
        <v>377</v>
      </c>
      <c r="F125" s="699" t="s">
        <v>378</v>
      </c>
      <c r="G125" s="699" t="s">
        <v>379</v>
      </c>
      <c r="H125" s="699" t="s">
        <v>380</v>
      </c>
      <c r="I125" s="699" t="s">
        <v>381</v>
      </c>
      <c r="J125" s="699" t="s">
        <v>382</v>
      </c>
      <c r="K125" s="700" t="s">
        <v>408</v>
      </c>
      <c r="L125" s="700" t="s">
        <v>889</v>
      </c>
      <c r="M125" s="700" t="s">
        <v>890</v>
      </c>
      <c r="N125" s="699" t="s">
        <v>510</v>
      </c>
      <c r="O125" s="699" t="s">
        <v>387</v>
      </c>
      <c r="P125" s="701">
        <v>2.2000000000000002</v>
      </c>
      <c r="Q125" s="699" t="s">
        <v>434</v>
      </c>
      <c r="R125" s="702">
        <v>418.18</v>
      </c>
      <c r="S125" s="702">
        <v>17095.84</v>
      </c>
      <c r="T125" s="702">
        <v>17514.02</v>
      </c>
      <c r="U125" s="702">
        <v>27654.92</v>
      </c>
      <c r="V125" s="702">
        <v>27654.92</v>
      </c>
      <c r="W125" s="702">
        <v>19539.78</v>
      </c>
      <c r="X125" s="703">
        <v>0</v>
      </c>
      <c r="Y125" s="703">
        <v>18</v>
      </c>
      <c r="Z125" s="703">
        <v>30</v>
      </c>
    </row>
    <row r="126" spans="1:26">
      <c r="A126" s="694" t="s">
        <v>891</v>
      </c>
      <c r="B126" s="694" t="s">
        <v>258</v>
      </c>
      <c r="C126" s="694" t="s">
        <v>892</v>
      </c>
      <c r="D126" s="694" t="s">
        <v>376</v>
      </c>
      <c r="E126" s="694" t="s">
        <v>377</v>
      </c>
      <c r="F126" s="694" t="s">
        <v>378</v>
      </c>
      <c r="G126" s="694" t="s">
        <v>379</v>
      </c>
      <c r="H126" s="694" t="s">
        <v>380</v>
      </c>
      <c r="I126" s="694" t="s">
        <v>381</v>
      </c>
      <c r="J126" s="694" t="s">
        <v>382</v>
      </c>
      <c r="K126" s="695" t="s">
        <v>595</v>
      </c>
      <c r="L126" s="695" t="s">
        <v>893</v>
      </c>
      <c r="M126" s="695" t="s">
        <v>894</v>
      </c>
      <c r="N126" s="694" t="s">
        <v>744</v>
      </c>
      <c r="O126" s="694" t="s">
        <v>387</v>
      </c>
      <c r="P126" s="696">
        <v>5.57</v>
      </c>
      <c r="Q126" s="694" t="s">
        <v>412</v>
      </c>
      <c r="R126" s="697">
        <v>9563.27</v>
      </c>
      <c r="S126" s="697">
        <v>7923.57</v>
      </c>
      <c r="T126" s="697">
        <v>17486.84</v>
      </c>
      <c r="U126" s="697">
        <v>35691.370000000003</v>
      </c>
      <c r="V126" s="697">
        <v>35691.370000000003</v>
      </c>
      <c r="W126" s="697">
        <v>20155.29</v>
      </c>
      <c r="X126" s="698">
        <v>0</v>
      </c>
      <c r="Y126" s="698">
        <v>352</v>
      </c>
      <c r="Z126" s="698">
        <v>34</v>
      </c>
    </row>
    <row r="127" spans="1:26">
      <c r="A127" s="699" t="s">
        <v>895</v>
      </c>
      <c r="B127" s="699" t="s">
        <v>259</v>
      </c>
      <c r="C127" s="699" t="s">
        <v>896</v>
      </c>
      <c r="D127" s="699" t="s">
        <v>428</v>
      </c>
      <c r="E127" s="699" t="s">
        <v>377</v>
      </c>
      <c r="F127" s="699" t="s">
        <v>378</v>
      </c>
      <c r="G127" s="699" t="s">
        <v>392</v>
      </c>
      <c r="H127" s="699" t="s">
        <v>393</v>
      </c>
      <c r="I127" s="699" t="s">
        <v>381</v>
      </c>
      <c r="J127" s="699" t="s">
        <v>382</v>
      </c>
      <c r="K127" s="700" t="s">
        <v>626</v>
      </c>
      <c r="L127" s="700" t="s">
        <v>738</v>
      </c>
      <c r="M127" s="700" t="s">
        <v>897</v>
      </c>
      <c r="N127" s="699" t="s">
        <v>898</v>
      </c>
      <c r="O127" s="699" t="s">
        <v>387</v>
      </c>
      <c r="P127" s="701">
        <v>1.88</v>
      </c>
      <c r="Q127" s="699" t="s">
        <v>434</v>
      </c>
      <c r="R127" s="702">
        <v>2905.91</v>
      </c>
      <c r="S127" s="702">
        <v>13927.72</v>
      </c>
      <c r="T127" s="702">
        <v>16833.63</v>
      </c>
      <c r="U127" s="702">
        <v>29485.87</v>
      </c>
      <c r="V127" s="702">
        <v>27173.45</v>
      </c>
      <c r="W127" s="702">
        <v>20129.93</v>
      </c>
      <c r="X127" s="703">
        <v>0</v>
      </c>
      <c r="Y127" s="703">
        <v>17</v>
      </c>
      <c r="Z127" s="703">
        <v>26</v>
      </c>
    </row>
    <row r="128" spans="1:26">
      <c r="A128" s="694" t="s">
        <v>899</v>
      </c>
      <c r="B128" s="694" t="s">
        <v>260</v>
      </c>
      <c r="C128" s="694" t="s">
        <v>900</v>
      </c>
      <c r="D128" s="694" t="s">
        <v>391</v>
      </c>
      <c r="E128" s="694" t="s">
        <v>377</v>
      </c>
      <c r="F128" s="694" t="s">
        <v>378</v>
      </c>
      <c r="G128" s="694" t="s">
        <v>379</v>
      </c>
      <c r="H128" s="694" t="s">
        <v>380</v>
      </c>
      <c r="I128" s="694" t="s">
        <v>400</v>
      </c>
      <c r="J128" s="694" t="s">
        <v>382</v>
      </c>
      <c r="K128" s="695" t="s">
        <v>408</v>
      </c>
      <c r="L128" s="695" t="s">
        <v>901</v>
      </c>
      <c r="M128" s="695" t="s">
        <v>902</v>
      </c>
      <c r="N128" s="694" t="s">
        <v>867</v>
      </c>
      <c r="O128" s="694" t="s">
        <v>387</v>
      </c>
      <c r="P128" s="696">
        <v>2.66</v>
      </c>
      <c r="Q128" s="694" t="s">
        <v>412</v>
      </c>
      <c r="R128" s="697">
        <v>16591.810000000001</v>
      </c>
      <c r="S128" s="697">
        <v>189.01</v>
      </c>
      <c r="T128" s="697">
        <v>16780.82</v>
      </c>
      <c r="U128" s="697">
        <v>34992.67</v>
      </c>
      <c r="V128" s="697">
        <v>34230.67</v>
      </c>
      <c r="W128" s="697">
        <v>19130.849999999999</v>
      </c>
      <c r="X128" s="698">
        <v>0</v>
      </c>
      <c r="Y128" s="698">
        <v>72</v>
      </c>
      <c r="Z128" s="698">
        <v>19</v>
      </c>
    </row>
    <row r="129" spans="1:26">
      <c r="A129" s="699" t="s">
        <v>903</v>
      </c>
      <c r="B129" s="699" t="s">
        <v>261</v>
      </c>
      <c r="C129" s="699" t="s">
        <v>904</v>
      </c>
      <c r="D129" s="699" t="s">
        <v>391</v>
      </c>
      <c r="E129" s="699" t="s">
        <v>377</v>
      </c>
      <c r="F129" s="699" t="s">
        <v>476</v>
      </c>
      <c r="G129" s="699" t="s">
        <v>477</v>
      </c>
      <c r="H129" s="699" t="s">
        <v>380</v>
      </c>
      <c r="I129" s="699" t="s">
        <v>498</v>
      </c>
      <c r="J129" s="699" t="s">
        <v>382</v>
      </c>
      <c r="K129" s="700" t="s">
        <v>452</v>
      </c>
      <c r="L129" s="700" t="s">
        <v>453</v>
      </c>
      <c r="M129" s="700" t="s">
        <v>905</v>
      </c>
      <c r="N129" s="699" t="s">
        <v>443</v>
      </c>
      <c r="O129" s="699" t="s">
        <v>387</v>
      </c>
      <c r="P129" s="701">
        <v>5.98</v>
      </c>
      <c r="Q129" s="699" t="s">
        <v>412</v>
      </c>
      <c r="R129" s="702">
        <v>11380</v>
      </c>
      <c r="S129" s="702">
        <v>5299.99</v>
      </c>
      <c r="T129" s="702">
        <v>16679.990000000002</v>
      </c>
      <c r="U129" s="702">
        <v>35118.47</v>
      </c>
      <c r="V129" s="702">
        <v>35118.47</v>
      </c>
      <c r="W129" s="702">
        <v>19834.689999999999</v>
      </c>
      <c r="X129" s="703">
        <v>0</v>
      </c>
      <c r="Y129" s="703">
        <v>86</v>
      </c>
      <c r="Z129" s="703">
        <v>66</v>
      </c>
    </row>
    <row r="130" spans="1:26">
      <c r="A130" s="694" t="s">
        <v>906</v>
      </c>
      <c r="B130" s="694" t="s">
        <v>262</v>
      </c>
      <c r="C130" s="694" t="s">
        <v>907</v>
      </c>
      <c r="D130" s="694" t="s">
        <v>376</v>
      </c>
      <c r="E130" s="694" t="s">
        <v>377</v>
      </c>
      <c r="F130" s="694" t="s">
        <v>378</v>
      </c>
      <c r="G130" s="694" t="s">
        <v>379</v>
      </c>
      <c r="H130" s="694" t="s">
        <v>380</v>
      </c>
      <c r="I130" s="694" t="s">
        <v>400</v>
      </c>
      <c r="J130" s="694" t="s">
        <v>382</v>
      </c>
      <c r="K130" s="695" t="s">
        <v>408</v>
      </c>
      <c r="L130" s="695" t="s">
        <v>908</v>
      </c>
      <c r="M130" s="695" t="s">
        <v>909</v>
      </c>
      <c r="N130" s="694" t="s">
        <v>510</v>
      </c>
      <c r="O130" s="694" t="s">
        <v>387</v>
      </c>
      <c r="P130" s="696">
        <v>9.26</v>
      </c>
      <c r="Q130" s="694" t="s">
        <v>388</v>
      </c>
      <c r="R130" s="697">
        <v>9697.43</v>
      </c>
      <c r="S130" s="697">
        <v>6921.63</v>
      </c>
      <c r="T130" s="697">
        <v>16619.060000000001</v>
      </c>
      <c r="U130" s="697">
        <v>53235.64</v>
      </c>
      <c r="V130" s="697">
        <v>52223.64</v>
      </c>
      <c r="W130" s="697">
        <v>18850.59</v>
      </c>
      <c r="X130" s="698">
        <v>0</v>
      </c>
      <c r="Y130" s="698">
        <v>81</v>
      </c>
      <c r="Z130" s="698">
        <v>22</v>
      </c>
    </row>
    <row r="131" spans="1:26" ht="25.5">
      <c r="A131" s="699" t="s">
        <v>910</v>
      </c>
      <c r="B131" s="699" t="s">
        <v>263</v>
      </c>
      <c r="C131" s="699" t="s">
        <v>911</v>
      </c>
      <c r="D131" s="699" t="s">
        <v>391</v>
      </c>
      <c r="E131" s="699" t="s">
        <v>377</v>
      </c>
      <c r="F131" s="699" t="s">
        <v>378</v>
      </c>
      <c r="G131" s="699" t="s">
        <v>379</v>
      </c>
      <c r="H131" s="699" t="s">
        <v>380</v>
      </c>
      <c r="I131" s="699" t="s">
        <v>381</v>
      </c>
      <c r="J131" s="699" t="s">
        <v>382</v>
      </c>
      <c r="K131" s="700" t="s">
        <v>408</v>
      </c>
      <c r="L131" s="700" t="s">
        <v>908</v>
      </c>
      <c r="M131" s="700" t="s">
        <v>912</v>
      </c>
      <c r="N131" s="699" t="s">
        <v>653</v>
      </c>
      <c r="O131" s="699" t="s">
        <v>387</v>
      </c>
      <c r="P131" s="701">
        <v>8.1999999999999993</v>
      </c>
      <c r="Q131" s="699" t="s">
        <v>412</v>
      </c>
      <c r="R131" s="702">
        <v>16417.75</v>
      </c>
      <c r="S131" s="702">
        <v>163.35</v>
      </c>
      <c r="T131" s="702">
        <v>16581.099999999999</v>
      </c>
      <c r="U131" s="702">
        <v>30103.040000000001</v>
      </c>
      <c r="V131" s="702">
        <v>29933.040000000001</v>
      </c>
      <c r="W131" s="702">
        <v>18945.2</v>
      </c>
      <c r="X131" s="703">
        <v>0</v>
      </c>
      <c r="Y131" s="703">
        <v>94</v>
      </c>
      <c r="Z131" s="703">
        <v>9</v>
      </c>
    </row>
    <row r="132" spans="1:26">
      <c r="A132" s="694" t="s">
        <v>149</v>
      </c>
      <c r="B132" s="694" t="s">
        <v>149</v>
      </c>
      <c r="C132" s="694" t="s">
        <v>149</v>
      </c>
      <c r="D132" s="694" t="s">
        <v>391</v>
      </c>
      <c r="E132" s="694" t="s">
        <v>377</v>
      </c>
      <c r="F132" s="694" t="s">
        <v>378</v>
      </c>
      <c r="G132" s="694" t="s">
        <v>379</v>
      </c>
      <c r="H132" s="694" t="s">
        <v>380</v>
      </c>
      <c r="I132" s="694" t="s">
        <v>381</v>
      </c>
      <c r="J132" s="694" t="s">
        <v>382</v>
      </c>
      <c r="K132" s="695" t="s">
        <v>713</v>
      </c>
      <c r="L132" s="695" t="s">
        <v>713</v>
      </c>
      <c r="M132" s="695" t="s">
        <v>466</v>
      </c>
      <c r="N132" s="694" t="s">
        <v>913</v>
      </c>
      <c r="O132" s="694" t="s">
        <v>387</v>
      </c>
      <c r="P132" s="696">
        <v>3.67</v>
      </c>
      <c r="Q132" s="694" t="s">
        <v>412</v>
      </c>
      <c r="R132" s="697">
        <v>15996.34</v>
      </c>
      <c r="S132" s="697">
        <v>553.44000000000005</v>
      </c>
      <c r="T132" s="697">
        <v>16549.78</v>
      </c>
      <c r="U132" s="697">
        <v>68519.55</v>
      </c>
      <c r="V132" s="697">
        <v>68519.55</v>
      </c>
      <c r="W132" s="697">
        <v>19127.64</v>
      </c>
      <c r="X132" s="698">
        <v>1</v>
      </c>
      <c r="Y132" s="698">
        <v>42</v>
      </c>
      <c r="Z132" s="698">
        <v>55</v>
      </c>
    </row>
    <row r="133" spans="1:26">
      <c r="A133" s="699" t="s">
        <v>914</v>
      </c>
      <c r="B133" s="699" t="s">
        <v>264</v>
      </c>
      <c r="C133" s="699" t="s">
        <v>915</v>
      </c>
      <c r="D133" s="699" t="s">
        <v>391</v>
      </c>
      <c r="E133" s="699" t="s">
        <v>377</v>
      </c>
      <c r="F133" s="699" t="s">
        <v>378</v>
      </c>
      <c r="G133" s="699" t="s">
        <v>379</v>
      </c>
      <c r="H133" s="699" t="s">
        <v>380</v>
      </c>
      <c r="I133" s="699" t="s">
        <v>381</v>
      </c>
      <c r="J133" s="699" t="s">
        <v>401</v>
      </c>
      <c r="K133" s="700" t="s">
        <v>408</v>
      </c>
      <c r="L133" s="700" t="s">
        <v>409</v>
      </c>
      <c r="M133" s="700" t="s">
        <v>725</v>
      </c>
      <c r="N133" s="699" t="s">
        <v>438</v>
      </c>
      <c r="O133" s="699" t="s">
        <v>515</v>
      </c>
      <c r="P133" s="701"/>
      <c r="Q133" s="699" t="s">
        <v>46</v>
      </c>
      <c r="R133" s="702">
        <v>16477.05</v>
      </c>
      <c r="S133" s="702">
        <v>38.39</v>
      </c>
      <c r="T133" s="702">
        <v>16515.439999999999</v>
      </c>
      <c r="U133" s="702">
        <v>28414.07</v>
      </c>
      <c r="V133" s="702">
        <v>28414.07</v>
      </c>
      <c r="W133" s="702">
        <v>18627.37</v>
      </c>
      <c r="X133" s="703">
        <v>0</v>
      </c>
      <c r="Y133" s="703">
        <v>23</v>
      </c>
      <c r="Z133" s="703">
        <v>11</v>
      </c>
    </row>
    <row r="134" spans="1:26">
      <c r="A134" s="694" t="s">
        <v>916</v>
      </c>
      <c r="B134" s="694" t="s">
        <v>265</v>
      </c>
      <c r="C134" s="694" t="s">
        <v>917</v>
      </c>
      <c r="D134" s="694" t="s">
        <v>428</v>
      </c>
      <c r="E134" s="694" t="s">
        <v>377</v>
      </c>
      <c r="F134" s="694" t="s">
        <v>378</v>
      </c>
      <c r="G134" s="694" t="s">
        <v>392</v>
      </c>
      <c r="H134" s="694" t="s">
        <v>393</v>
      </c>
      <c r="I134" s="694" t="s">
        <v>381</v>
      </c>
      <c r="J134" s="694" t="s">
        <v>382</v>
      </c>
      <c r="K134" s="695" t="s">
        <v>499</v>
      </c>
      <c r="L134" s="695" t="s">
        <v>693</v>
      </c>
      <c r="M134" s="695" t="s">
        <v>757</v>
      </c>
      <c r="N134" s="694" t="s">
        <v>918</v>
      </c>
      <c r="O134" s="694" t="s">
        <v>745</v>
      </c>
      <c r="P134" s="696">
        <v>0.48</v>
      </c>
      <c r="Q134" s="694" t="s">
        <v>434</v>
      </c>
      <c r="R134" s="697">
        <v>16243.85</v>
      </c>
      <c r="S134" s="697">
        <v>248.92</v>
      </c>
      <c r="T134" s="697">
        <v>16492.77</v>
      </c>
      <c r="U134" s="697">
        <v>24651.52</v>
      </c>
      <c r="V134" s="697">
        <v>29461.15</v>
      </c>
      <c r="W134" s="697">
        <v>17928.3</v>
      </c>
      <c r="X134" s="698">
        <v>0</v>
      </c>
      <c r="Y134" s="698">
        <v>39</v>
      </c>
      <c r="Z134" s="698">
        <v>2</v>
      </c>
    </row>
    <row r="135" spans="1:26">
      <c r="A135" s="699" t="s">
        <v>919</v>
      </c>
      <c r="B135" s="699" t="s">
        <v>266</v>
      </c>
      <c r="C135" s="699" t="s">
        <v>920</v>
      </c>
      <c r="D135" s="699" t="s">
        <v>376</v>
      </c>
      <c r="E135" s="699" t="s">
        <v>377</v>
      </c>
      <c r="F135" s="699" t="s">
        <v>378</v>
      </c>
      <c r="G135" s="699" t="s">
        <v>392</v>
      </c>
      <c r="H135" s="699" t="s">
        <v>393</v>
      </c>
      <c r="I135" s="699" t="s">
        <v>429</v>
      </c>
      <c r="J135" s="699" t="s">
        <v>382</v>
      </c>
      <c r="K135" s="700" t="s">
        <v>408</v>
      </c>
      <c r="L135" s="700" t="s">
        <v>921</v>
      </c>
      <c r="M135" s="700" t="s">
        <v>922</v>
      </c>
      <c r="N135" s="699" t="s">
        <v>923</v>
      </c>
      <c r="O135" s="699" t="s">
        <v>491</v>
      </c>
      <c r="P135" s="701">
        <v>1.22</v>
      </c>
      <c r="Q135" s="699" t="s">
        <v>434</v>
      </c>
      <c r="R135" s="702">
        <v>16393.830000000002</v>
      </c>
      <c r="S135" s="702">
        <v>28.89</v>
      </c>
      <c r="T135" s="702">
        <v>16422.72</v>
      </c>
      <c r="U135" s="702">
        <v>34748.97</v>
      </c>
      <c r="V135" s="702">
        <v>34748.97</v>
      </c>
      <c r="W135" s="702">
        <v>19117.189999999999</v>
      </c>
      <c r="X135" s="703">
        <v>0</v>
      </c>
      <c r="Y135" s="703">
        <v>37</v>
      </c>
      <c r="Z135" s="703">
        <v>5</v>
      </c>
    </row>
    <row r="136" spans="1:26">
      <c r="A136" s="694" t="s">
        <v>924</v>
      </c>
      <c r="B136" s="694" t="s">
        <v>267</v>
      </c>
      <c r="C136" s="694" t="s">
        <v>925</v>
      </c>
      <c r="D136" s="694" t="s">
        <v>376</v>
      </c>
      <c r="E136" s="694" t="s">
        <v>377</v>
      </c>
      <c r="F136" s="694" t="s">
        <v>476</v>
      </c>
      <c r="G136" s="694" t="s">
        <v>477</v>
      </c>
      <c r="H136" s="694" t="s">
        <v>380</v>
      </c>
      <c r="I136" s="694" t="s">
        <v>429</v>
      </c>
      <c r="J136" s="694" t="s">
        <v>382</v>
      </c>
      <c r="K136" s="695" t="s">
        <v>626</v>
      </c>
      <c r="L136" s="695" t="s">
        <v>738</v>
      </c>
      <c r="M136" s="695" t="s">
        <v>926</v>
      </c>
      <c r="N136" s="694" t="s">
        <v>510</v>
      </c>
      <c r="O136" s="694" t="s">
        <v>387</v>
      </c>
      <c r="P136" s="696">
        <v>2.4900000000000002</v>
      </c>
      <c r="Q136" s="694" t="s">
        <v>434</v>
      </c>
      <c r="R136" s="697">
        <v>5782.44</v>
      </c>
      <c r="S136" s="697">
        <v>10520.68</v>
      </c>
      <c r="T136" s="697">
        <v>16303.12</v>
      </c>
      <c r="U136" s="697">
        <v>30228.71</v>
      </c>
      <c r="V136" s="697">
        <v>30228.71</v>
      </c>
      <c r="W136" s="697">
        <v>21554.2</v>
      </c>
      <c r="X136" s="698">
        <v>0</v>
      </c>
      <c r="Y136" s="698">
        <v>49</v>
      </c>
      <c r="Z136" s="698">
        <v>41</v>
      </c>
    </row>
    <row r="137" spans="1:26">
      <c r="A137" s="699" t="s">
        <v>927</v>
      </c>
      <c r="B137" s="699" t="s">
        <v>268</v>
      </c>
      <c r="C137" s="699" t="s">
        <v>928</v>
      </c>
      <c r="D137" s="699" t="s">
        <v>391</v>
      </c>
      <c r="E137" s="699" t="s">
        <v>377</v>
      </c>
      <c r="F137" s="699" t="s">
        <v>378</v>
      </c>
      <c r="G137" s="699" t="s">
        <v>392</v>
      </c>
      <c r="H137" s="699" t="s">
        <v>393</v>
      </c>
      <c r="I137" s="699" t="s">
        <v>381</v>
      </c>
      <c r="J137" s="699" t="s">
        <v>382</v>
      </c>
      <c r="K137" s="700" t="s">
        <v>430</v>
      </c>
      <c r="L137" s="700" t="s">
        <v>518</v>
      </c>
      <c r="M137" s="700" t="s">
        <v>929</v>
      </c>
      <c r="N137" s="699" t="s">
        <v>930</v>
      </c>
      <c r="O137" s="699" t="s">
        <v>387</v>
      </c>
      <c r="P137" s="701">
        <v>2.68</v>
      </c>
      <c r="Q137" s="699" t="s">
        <v>412</v>
      </c>
      <c r="R137" s="702">
        <v>15620.65</v>
      </c>
      <c r="S137" s="702">
        <v>565.62</v>
      </c>
      <c r="T137" s="702">
        <v>16186.27</v>
      </c>
      <c r="U137" s="702">
        <v>27763.11</v>
      </c>
      <c r="V137" s="702">
        <v>25251.11</v>
      </c>
      <c r="W137" s="702">
        <v>17866.53</v>
      </c>
      <c r="X137" s="703">
        <v>0</v>
      </c>
      <c r="Y137" s="703">
        <v>108</v>
      </c>
      <c r="Z137" s="703">
        <v>28</v>
      </c>
    </row>
    <row r="138" spans="1:26" ht="25.5">
      <c r="A138" s="694" t="s">
        <v>931</v>
      </c>
      <c r="B138" s="694" t="s">
        <v>269</v>
      </c>
      <c r="C138" s="694" t="s">
        <v>932</v>
      </c>
      <c r="D138" s="694" t="s">
        <v>391</v>
      </c>
      <c r="E138" s="694" t="s">
        <v>377</v>
      </c>
      <c r="F138" s="694" t="s">
        <v>378</v>
      </c>
      <c r="G138" s="694" t="s">
        <v>392</v>
      </c>
      <c r="H138" s="694" t="s">
        <v>393</v>
      </c>
      <c r="I138" s="694" t="s">
        <v>381</v>
      </c>
      <c r="J138" s="694" t="s">
        <v>382</v>
      </c>
      <c r="K138" s="695" t="s">
        <v>499</v>
      </c>
      <c r="L138" s="695" t="s">
        <v>933</v>
      </c>
      <c r="M138" s="695" t="s">
        <v>934</v>
      </c>
      <c r="N138" s="694" t="s">
        <v>935</v>
      </c>
      <c r="O138" s="694" t="s">
        <v>387</v>
      </c>
      <c r="P138" s="696">
        <v>0.54</v>
      </c>
      <c r="Q138" s="694" t="s">
        <v>434</v>
      </c>
      <c r="R138" s="697">
        <v>16101.29</v>
      </c>
      <c r="S138" s="697">
        <v>23.04</v>
      </c>
      <c r="T138" s="697">
        <v>16124.33</v>
      </c>
      <c r="U138" s="697">
        <v>33801.199999999997</v>
      </c>
      <c r="V138" s="697">
        <v>33697.93</v>
      </c>
      <c r="W138" s="697">
        <v>18676.61</v>
      </c>
      <c r="X138" s="698">
        <v>0</v>
      </c>
      <c r="Y138" s="698">
        <v>43</v>
      </c>
      <c r="Z138" s="698">
        <v>6</v>
      </c>
    </row>
    <row r="139" spans="1:26">
      <c r="A139" s="699" t="s">
        <v>936</v>
      </c>
      <c r="B139" s="699" t="s">
        <v>270</v>
      </c>
      <c r="C139" s="699" t="s">
        <v>937</v>
      </c>
      <c r="D139" s="699" t="s">
        <v>376</v>
      </c>
      <c r="E139" s="699" t="s">
        <v>377</v>
      </c>
      <c r="F139" s="699" t="s">
        <v>378</v>
      </c>
      <c r="G139" s="699" t="s">
        <v>379</v>
      </c>
      <c r="H139" s="699" t="s">
        <v>380</v>
      </c>
      <c r="I139" s="699" t="s">
        <v>429</v>
      </c>
      <c r="J139" s="699" t="s">
        <v>382</v>
      </c>
      <c r="K139" s="700" t="s">
        <v>767</v>
      </c>
      <c r="L139" s="700" t="s">
        <v>768</v>
      </c>
      <c r="M139" s="700" t="s">
        <v>790</v>
      </c>
      <c r="N139" s="699" t="s">
        <v>938</v>
      </c>
      <c r="O139" s="699" t="s">
        <v>387</v>
      </c>
      <c r="P139" s="701">
        <v>1.53</v>
      </c>
      <c r="Q139" s="699" t="s">
        <v>434</v>
      </c>
      <c r="R139" s="702">
        <v>14443.31</v>
      </c>
      <c r="S139" s="702">
        <v>723.83</v>
      </c>
      <c r="T139" s="702">
        <v>15167.14</v>
      </c>
      <c r="U139" s="702">
        <v>27512.57</v>
      </c>
      <c r="V139" s="702">
        <v>27512.57</v>
      </c>
      <c r="W139" s="702">
        <v>18456.7</v>
      </c>
      <c r="X139" s="703">
        <v>0</v>
      </c>
      <c r="Y139" s="703">
        <v>38</v>
      </c>
      <c r="Z139" s="703">
        <v>14</v>
      </c>
    </row>
    <row r="140" spans="1:26">
      <c r="A140" s="694" t="s">
        <v>149</v>
      </c>
      <c r="B140" s="694" t="s">
        <v>149</v>
      </c>
      <c r="C140" s="694" t="s">
        <v>149</v>
      </c>
      <c r="D140" s="694" t="s">
        <v>376</v>
      </c>
      <c r="E140" s="694" t="s">
        <v>377</v>
      </c>
      <c r="F140" s="694" t="s">
        <v>476</v>
      </c>
      <c r="G140" s="694" t="s">
        <v>477</v>
      </c>
      <c r="H140" s="694" t="s">
        <v>380</v>
      </c>
      <c r="I140" s="694" t="s">
        <v>498</v>
      </c>
      <c r="J140" s="694" t="s">
        <v>401</v>
      </c>
      <c r="K140" s="695" t="s">
        <v>430</v>
      </c>
      <c r="L140" s="695" t="s">
        <v>713</v>
      </c>
      <c r="M140" s="695" t="s">
        <v>466</v>
      </c>
      <c r="N140" s="694" t="s">
        <v>939</v>
      </c>
      <c r="O140" s="694" t="s">
        <v>659</v>
      </c>
      <c r="P140" s="696"/>
      <c r="Q140" s="694" t="s">
        <v>46</v>
      </c>
      <c r="R140" s="697">
        <v>5786.61</v>
      </c>
      <c r="S140" s="697">
        <v>9138.1</v>
      </c>
      <c r="T140" s="697">
        <v>14924.71</v>
      </c>
      <c r="U140" s="697">
        <v>32257.200000000001</v>
      </c>
      <c r="V140" s="697">
        <v>32257.200000000001</v>
      </c>
      <c r="W140" s="697">
        <v>16302.01</v>
      </c>
      <c r="X140" s="698">
        <v>0</v>
      </c>
      <c r="Y140" s="698">
        <v>113</v>
      </c>
      <c r="Z140" s="698">
        <v>24</v>
      </c>
    </row>
    <row r="141" spans="1:26">
      <c r="A141" s="699" t="s">
        <v>940</v>
      </c>
      <c r="B141" s="699" t="s">
        <v>271</v>
      </c>
      <c r="C141" s="699" t="s">
        <v>493</v>
      </c>
      <c r="D141" s="699" t="s">
        <v>428</v>
      </c>
      <c r="E141" s="699" t="s">
        <v>377</v>
      </c>
      <c r="F141" s="699" t="s">
        <v>378</v>
      </c>
      <c r="G141" s="699" t="s">
        <v>392</v>
      </c>
      <c r="H141" s="699" t="s">
        <v>393</v>
      </c>
      <c r="I141" s="699" t="s">
        <v>400</v>
      </c>
      <c r="J141" s="699" t="s">
        <v>382</v>
      </c>
      <c r="K141" s="700" t="s">
        <v>941</v>
      </c>
      <c r="L141" s="700" t="s">
        <v>942</v>
      </c>
      <c r="M141" s="700" t="s">
        <v>943</v>
      </c>
      <c r="N141" s="699"/>
      <c r="O141" s="699" t="s">
        <v>515</v>
      </c>
      <c r="P141" s="701">
        <v>1.61</v>
      </c>
      <c r="Q141" s="699" t="s">
        <v>434</v>
      </c>
      <c r="R141" s="702">
        <v>14545.69</v>
      </c>
      <c r="S141" s="702"/>
      <c r="T141" s="702">
        <v>14545.69</v>
      </c>
      <c r="U141" s="702">
        <v>22452.51</v>
      </c>
      <c r="V141" s="702">
        <v>22452.51</v>
      </c>
      <c r="W141" s="702">
        <v>17490.419999999998</v>
      </c>
      <c r="X141" s="703">
        <v>1</v>
      </c>
      <c r="Y141" s="703">
        <v>46</v>
      </c>
      <c r="Z141" s="703">
        <v>0</v>
      </c>
    </row>
    <row r="142" spans="1:26">
      <c r="A142" s="694" t="s">
        <v>944</v>
      </c>
      <c r="B142" s="694" t="s">
        <v>272</v>
      </c>
      <c r="C142" s="694" t="s">
        <v>945</v>
      </c>
      <c r="D142" s="694" t="s">
        <v>376</v>
      </c>
      <c r="E142" s="694" t="s">
        <v>377</v>
      </c>
      <c r="F142" s="694" t="s">
        <v>378</v>
      </c>
      <c r="G142" s="694" t="s">
        <v>379</v>
      </c>
      <c r="H142" s="694" t="s">
        <v>380</v>
      </c>
      <c r="I142" s="694" t="s">
        <v>400</v>
      </c>
      <c r="J142" s="694" t="s">
        <v>401</v>
      </c>
      <c r="K142" s="695" t="s">
        <v>408</v>
      </c>
      <c r="L142" s="695" t="s">
        <v>889</v>
      </c>
      <c r="M142" s="695" t="s">
        <v>890</v>
      </c>
      <c r="N142" s="694" t="s">
        <v>860</v>
      </c>
      <c r="O142" s="694" t="s">
        <v>491</v>
      </c>
      <c r="P142" s="696"/>
      <c r="Q142" s="694" t="s">
        <v>46</v>
      </c>
      <c r="R142" s="697">
        <v>11834.96</v>
      </c>
      <c r="S142" s="697">
        <v>2671.98</v>
      </c>
      <c r="T142" s="697">
        <v>14506.94</v>
      </c>
      <c r="U142" s="697">
        <v>40581.589999999997</v>
      </c>
      <c r="V142" s="697">
        <v>38507.589999999997</v>
      </c>
      <c r="W142" s="697">
        <v>17804.14</v>
      </c>
      <c r="X142" s="698">
        <v>0</v>
      </c>
      <c r="Y142" s="698">
        <v>130</v>
      </c>
      <c r="Z142" s="698">
        <v>19</v>
      </c>
    </row>
    <row r="143" spans="1:26">
      <c r="A143" s="699" t="s">
        <v>946</v>
      </c>
      <c r="B143" s="699" t="s">
        <v>273</v>
      </c>
      <c r="C143" s="699" t="s">
        <v>947</v>
      </c>
      <c r="D143" s="699" t="s">
        <v>428</v>
      </c>
      <c r="E143" s="699" t="s">
        <v>377</v>
      </c>
      <c r="F143" s="699" t="s">
        <v>378</v>
      </c>
      <c r="G143" s="699" t="s">
        <v>379</v>
      </c>
      <c r="H143" s="699" t="s">
        <v>380</v>
      </c>
      <c r="I143" s="699" t="s">
        <v>446</v>
      </c>
      <c r="J143" s="699" t="s">
        <v>382</v>
      </c>
      <c r="K143" s="700" t="s">
        <v>585</v>
      </c>
      <c r="L143" s="700" t="s">
        <v>873</v>
      </c>
      <c r="M143" s="700" t="s">
        <v>948</v>
      </c>
      <c r="N143" s="699" t="s">
        <v>949</v>
      </c>
      <c r="O143" s="699" t="s">
        <v>515</v>
      </c>
      <c r="P143" s="701">
        <v>0.36</v>
      </c>
      <c r="Q143" s="699" t="s">
        <v>434</v>
      </c>
      <c r="R143" s="702">
        <v>13896.44</v>
      </c>
      <c r="S143" s="702">
        <v>553.99</v>
      </c>
      <c r="T143" s="702">
        <v>14450.43</v>
      </c>
      <c r="U143" s="702">
        <v>29518.97</v>
      </c>
      <c r="V143" s="702">
        <v>29518.97</v>
      </c>
      <c r="W143" s="702">
        <v>20181.47</v>
      </c>
      <c r="X143" s="703">
        <v>1</v>
      </c>
      <c r="Y143" s="703">
        <v>57</v>
      </c>
      <c r="Z143" s="703">
        <v>9</v>
      </c>
    </row>
    <row r="144" spans="1:26">
      <c r="A144" s="694" t="s">
        <v>950</v>
      </c>
      <c r="B144" s="694" t="s">
        <v>274</v>
      </c>
      <c r="C144" s="694" t="s">
        <v>951</v>
      </c>
      <c r="D144" s="694" t="s">
        <v>376</v>
      </c>
      <c r="E144" s="694" t="s">
        <v>377</v>
      </c>
      <c r="F144" s="694" t="s">
        <v>378</v>
      </c>
      <c r="G144" s="694" t="s">
        <v>379</v>
      </c>
      <c r="H144" s="694" t="s">
        <v>380</v>
      </c>
      <c r="I144" s="694" t="s">
        <v>400</v>
      </c>
      <c r="J144" s="694" t="s">
        <v>382</v>
      </c>
      <c r="K144" s="695" t="s">
        <v>408</v>
      </c>
      <c r="L144" s="695" t="s">
        <v>483</v>
      </c>
      <c r="M144" s="695" t="s">
        <v>952</v>
      </c>
      <c r="N144" s="694" t="s">
        <v>953</v>
      </c>
      <c r="O144" s="694" t="s">
        <v>387</v>
      </c>
      <c r="P144" s="696">
        <v>2.0099999999999998</v>
      </c>
      <c r="Q144" s="694" t="s">
        <v>434</v>
      </c>
      <c r="R144" s="697">
        <v>13917.84</v>
      </c>
      <c r="S144" s="697">
        <v>428.12</v>
      </c>
      <c r="T144" s="697">
        <v>14345.96</v>
      </c>
      <c r="U144" s="697">
        <v>50564.65</v>
      </c>
      <c r="V144" s="697">
        <v>49994.65</v>
      </c>
      <c r="W144" s="697">
        <v>16685.310000000001</v>
      </c>
      <c r="X144" s="698">
        <v>0</v>
      </c>
      <c r="Y144" s="698">
        <v>63</v>
      </c>
      <c r="Z144" s="698">
        <v>13</v>
      </c>
    </row>
    <row r="145" spans="1:26">
      <c r="A145" s="699" t="s">
        <v>954</v>
      </c>
      <c r="B145" s="699" t="s">
        <v>275</v>
      </c>
      <c r="C145" s="699" t="s">
        <v>955</v>
      </c>
      <c r="D145" s="699" t="s">
        <v>428</v>
      </c>
      <c r="E145" s="699" t="s">
        <v>377</v>
      </c>
      <c r="F145" s="699" t="s">
        <v>378</v>
      </c>
      <c r="G145" s="699" t="s">
        <v>379</v>
      </c>
      <c r="H145" s="699" t="s">
        <v>380</v>
      </c>
      <c r="I145" s="699" t="s">
        <v>400</v>
      </c>
      <c r="J145" s="699" t="s">
        <v>382</v>
      </c>
      <c r="K145" s="700" t="s">
        <v>408</v>
      </c>
      <c r="L145" s="700" t="s">
        <v>409</v>
      </c>
      <c r="M145" s="700" t="s">
        <v>956</v>
      </c>
      <c r="N145" s="699"/>
      <c r="O145" s="699" t="s">
        <v>387</v>
      </c>
      <c r="P145" s="701">
        <v>0.92</v>
      </c>
      <c r="Q145" s="699" t="s">
        <v>434</v>
      </c>
      <c r="R145" s="702">
        <v>14004.86</v>
      </c>
      <c r="S145" s="702"/>
      <c r="T145" s="702">
        <v>14004.86</v>
      </c>
      <c r="U145" s="702">
        <v>26849</v>
      </c>
      <c r="V145" s="702">
        <v>26849</v>
      </c>
      <c r="W145" s="702">
        <v>15447.25</v>
      </c>
      <c r="X145" s="703">
        <v>0</v>
      </c>
      <c r="Y145" s="703">
        <v>415</v>
      </c>
      <c r="Z145" s="703">
        <v>0</v>
      </c>
    </row>
    <row r="146" spans="1:26">
      <c r="A146" s="694" t="s">
        <v>957</v>
      </c>
      <c r="B146" s="694" t="s">
        <v>276</v>
      </c>
      <c r="C146" s="694" t="s">
        <v>958</v>
      </c>
      <c r="D146" s="694" t="s">
        <v>391</v>
      </c>
      <c r="E146" s="694" t="s">
        <v>377</v>
      </c>
      <c r="F146" s="694" t="s">
        <v>378</v>
      </c>
      <c r="G146" s="694" t="s">
        <v>379</v>
      </c>
      <c r="H146" s="694" t="s">
        <v>380</v>
      </c>
      <c r="I146" s="694" t="s">
        <v>381</v>
      </c>
      <c r="J146" s="694" t="s">
        <v>382</v>
      </c>
      <c r="K146" s="695" t="s">
        <v>767</v>
      </c>
      <c r="L146" s="695" t="s">
        <v>959</v>
      </c>
      <c r="M146" s="695" t="s">
        <v>960</v>
      </c>
      <c r="N146" s="694" t="s">
        <v>544</v>
      </c>
      <c r="O146" s="694" t="s">
        <v>387</v>
      </c>
      <c r="P146" s="696">
        <v>1.88</v>
      </c>
      <c r="Q146" s="694" t="s">
        <v>434</v>
      </c>
      <c r="R146" s="697">
        <v>13237.86</v>
      </c>
      <c r="S146" s="697">
        <v>753.06</v>
      </c>
      <c r="T146" s="697">
        <v>13990.92</v>
      </c>
      <c r="U146" s="697">
        <v>25393.68</v>
      </c>
      <c r="V146" s="697">
        <v>23602.68</v>
      </c>
      <c r="W146" s="697">
        <v>15507.09</v>
      </c>
      <c r="X146" s="698">
        <v>0</v>
      </c>
      <c r="Y146" s="698">
        <v>95</v>
      </c>
      <c r="Z146" s="698">
        <v>19</v>
      </c>
    </row>
    <row r="147" spans="1:26">
      <c r="A147" s="699" t="s">
        <v>961</v>
      </c>
      <c r="B147" s="699" t="s">
        <v>277</v>
      </c>
      <c r="C147" s="699" t="s">
        <v>962</v>
      </c>
      <c r="D147" s="699" t="s">
        <v>376</v>
      </c>
      <c r="E147" s="699" t="s">
        <v>377</v>
      </c>
      <c r="F147" s="699" t="s">
        <v>378</v>
      </c>
      <c r="G147" s="699" t="s">
        <v>379</v>
      </c>
      <c r="H147" s="699" t="s">
        <v>380</v>
      </c>
      <c r="I147" s="699" t="s">
        <v>381</v>
      </c>
      <c r="J147" s="699" t="s">
        <v>382</v>
      </c>
      <c r="K147" s="700" t="s">
        <v>430</v>
      </c>
      <c r="L147" s="700" t="s">
        <v>844</v>
      </c>
      <c r="M147" s="700" t="s">
        <v>963</v>
      </c>
      <c r="N147" s="699" t="s">
        <v>964</v>
      </c>
      <c r="O147" s="699" t="s">
        <v>515</v>
      </c>
      <c r="P147" s="701">
        <v>1.76</v>
      </c>
      <c r="Q147" s="699" t="s">
        <v>434</v>
      </c>
      <c r="R147" s="702">
        <v>3745.86</v>
      </c>
      <c r="S147" s="702">
        <v>10025.379999999999</v>
      </c>
      <c r="T147" s="702">
        <v>13771.24</v>
      </c>
      <c r="U147" s="702">
        <v>21025.439999999999</v>
      </c>
      <c r="V147" s="702">
        <v>21025.439999999999</v>
      </c>
      <c r="W147" s="702">
        <v>15136.36</v>
      </c>
      <c r="X147" s="703">
        <v>0</v>
      </c>
      <c r="Y147" s="703">
        <v>38</v>
      </c>
      <c r="Z147" s="703">
        <v>25</v>
      </c>
    </row>
    <row r="148" spans="1:26">
      <c r="A148" s="694" t="s">
        <v>965</v>
      </c>
      <c r="B148" s="694" t="s">
        <v>278</v>
      </c>
      <c r="C148" s="694" t="s">
        <v>966</v>
      </c>
      <c r="D148" s="694" t="s">
        <v>376</v>
      </c>
      <c r="E148" s="694" t="s">
        <v>377</v>
      </c>
      <c r="F148" s="694" t="s">
        <v>378</v>
      </c>
      <c r="G148" s="694" t="s">
        <v>392</v>
      </c>
      <c r="H148" s="694" t="s">
        <v>393</v>
      </c>
      <c r="I148" s="694" t="s">
        <v>381</v>
      </c>
      <c r="J148" s="694" t="s">
        <v>382</v>
      </c>
      <c r="K148" s="695" t="s">
        <v>452</v>
      </c>
      <c r="L148" s="695" t="s">
        <v>967</v>
      </c>
      <c r="M148" s="695" t="s">
        <v>968</v>
      </c>
      <c r="N148" s="694" t="s">
        <v>969</v>
      </c>
      <c r="O148" s="694" t="s">
        <v>387</v>
      </c>
      <c r="P148" s="696">
        <v>3.66</v>
      </c>
      <c r="Q148" s="694" t="s">
        <v>412</v>
      </c>
      <c r="R148" s="697">
        <v>13315.7</v>
      </c>
      <c r="S148" s="697">
        <v>322.72000000000003</v>
      </c>
      <c r="T148" s="697">
        <v>13638.42</v>
      </c>
      <c r="U148" s="697">
        <v>39767.019999999997</v>
      </c>
      <c r="V148" s="697">
        <v>39767.019999999997</v>
      </c>
      <c r="W148" s="697">
        <v>16480.02</v>
      </c>
      <c r="X148" s="698">
        <v>0</v>
      </c>
      <c r="Y148" s="698">
        <v>54</v>
      </c>
      <c r="Z148" s="698">
        <v>50</v>
      </c>
    </row>
    <row r="149" spans="1:26">
      <c r="A149" s="699" t="s">
        <v>970</v>
      </c>
      <c r="B149" s="699" t="s">
        <v>279</v>
      </c>
      <c r="C149" s="699" t="s">
        <v>971</v>
      </c>
      <c r="D149" s="699" t="s">
        <v>376</v>
      </c>
      <c r="E149" s="699" t="s">
        <v>377</v>
      </c>
      <c r="F149" s="699" t="s">
        <v>378</v>
      </c>
      <c r="G149" s="699" t="s">
        <v>392</v>
      </c>
      <c r="H149" s="699" t="s">
        <v>393</v>
      </c>
      <c r="I149" s="699" t="s">
        <v>381</v>
      </c>
      <c r="J149" s="699" t="s">
        <v>382</v>
      </c>
      <c r="K149" s="700" t="s">
        <v>383</v>
      </c>
      <c r="L149" s="700" t="s">
        <v>972</v>
      </c>
      <c r="M149" s="700" t="s">
        <v>432</v>
      </c>
      <c r="N149" s="699" t="s">
        <v>973</v>
      </c>
      <c r="O149" s="699" t="s">
        <v>387</v>
      </c>
      <c r="P149" s="701">
        <v>3.28</v>
      </c>
      <c r="Q149" s="699" t="s">
        <v>412</v>
      </c>
      <c r="R149" s="702">
        <v>4504.2700000000004</v>
      </c>
      <c r="S149" s="702">
        <v>8565.2099999999991</v>
      </c>
      <c r="T149" s="702">
        <v>13069.48</v>
      </c>
      <c r="U149" s="702">
        <v>34755.26</v>
      </c>
      <c r="V149" s="702">
        <v>32779.35</v>
      </c>
      <c r="W149" s="702">
        <v>16287.59</v>
      </c>
      <c r="X149" s="703">
        <v>0</v>
      </c>
      <c r="Y149" s="703">
        <v>63</v>
      </c>
      <c r="Z149" s="703">
        <v>29</v>
      </c>
    </row>
    <row r="150" spans="1:26">
      <c r="A150" s="694" t="s">
        <v>974</v>
      </c>
      <c r="B150" s="694" t="s">
        <v>280</v>
      </c>
      <c r="C150" s="694" t="s">
        <v>975</v>
      </c>
      <c r="D150" s="694" t="s">
        <v>391</v>
      </c>
      <c r="E150" s="694" t="s">
        <v>377</v>
      </c>
      <c r="F150" s="694" t="s">
        <v>476</v>
      </c>
      <c r="G150" s="694" t="s">
        <v>477</v>
      </c>
      <c r="H150" s="694" t="s">
        <v>380</v>
      </c>
      <c r="I150" s="694" t="s">
        <v>498</v>
      </c>
      <c r="J150" s="694" t="s">
        <v>382</v>
      </c>
      <c r="K150" s="695" t="s">
        <v>408</v>
      </c>
      <c r="L150" s="695" t="s">
        <v>768</v>
      </c>
      <c r="M150" s="695" t="s">
        <v>976</v>
      </c>
      <c r="N150" s="694" t="s">
        <v>510</v>
      </c>
      <c r="O150" s="694" t="s">
        <v>387</v>
      </c>
      <c r="P150" s="696">
        <v>2.81</v>
      </c>
      <c r="Q150" s="694" t="s">
        <v>412</v>
      </c>
      <c r="R150" s="697">
        <v>6265.69</v>
      </c>
      <c r="S150" s="697">
        <v>6720.63</v>
      </c>
      <c r="T150" s="697">
        <v>12986.32</v>
      </c>
      <c r="U150" s="697">
        <v>20465.32</v>
      </c>
      <c r="V150" s="697">
        <v>20465.32</v>
      </c>
      <c r="W150" s="697">
        <v>14951.53</v>
      </c>
      <c r="X150" s="698">
        <v>0</v>
      </c>
      <c r="Y150" s="698">
        <v>72</v>
      </c>
      <c r="Z150" s="698">
        <v>35</v>
      </c>
    </row>
    <row r="151" spans="1:26">
      <c r="A151" s="699" t="s">
        <v>977</v>
      </c>
      <c r="B151" s="699" t="s">
        <v>281</v>
      </c>
      <c r="C151" s="699" t="s">
        <v>978</v>
      </c>
      <c r="D151" s="699" t="s">
        <v>428</v>
      </c>
      <c r="E151" s="699" t="s">
        <v>377</v>
      </c>
      <c r="F151" s="699" t="s">
        <v>378</v>
      </c>
      <c r="G151" s="699" t="s">
        <v>379</v>
      </c>
      <c r="H151" s="699" t="s">
        <v>380</v>
      </c>
      <c r="I151" s="699" t="s">
        <v>381</v>
      </c>
      <c r="J151" s="699" t="s">
        <v>382</v>
      </c>
      <c r="K151" s="700" t="s">
        <v>430</v>
      </c>
      <c r="L151" s="700" t="s">
        <v>844</v>
      </c>
      <c r="M151" s="700" t="s">
        <v>979</v>
      </c>
      <c r="N151" s="699" t="s">
        <v>980</v>
      </c>
      <c r="O151" s="699" t="s">
        <v>387</v>
      </c>
      <c r="P151" s="701">
        <v>1.21</v>
      </c>
      <c r="Q151" s="699" t="s">
        <v>434</v>
      </c>
      <c r="R151" s="702">
        <v>11299.22</v>
      </c>
      <c r="S151" s="702">
        <v>1516.22</v>
      </c>
      <c r="T151" s="702">
        <v>12815.44</v>
      </c>
      <c r="U151" s="702">
        <v>23220.16</v>
      </c>
      <c r="V151" s="702">
        <v>23220.16</v>
      </c>
      <c r="W151" s="702">
        <v>13259.87</v>
      </c>
      <c r="X151" s="703">
        <v>0</v>
      </c>
      <c r="Y151" s="703">
        <v>177</v>
      </c>
      <c r="Z151" s="703">
        <v>34</v>
      </c>
    </row>
    <row r="152" spans="1:26">
      <c r="A152" s="694" t="s">
        <v>981</v>
      </c>
      <c r="B152" s="694" t="s">
        <v>282</v>
      </c>
      <c r="C152" s="694" t="s">
        <v>982</v>
      </c>
      <c r="D152" s="694" t="s">
        <v>391</v>
      </c>
      <c r="E152" s="694" t="s">
        <v>377</v>
      </c>
      <c r="F152" s="694" t="s">
        <v>378</v>
      </c>
      <c r="G152" s="694" t="s">
        <v>379</v>
      </c>
      <c r="H152" s="694" t="s">
        <v>380</v>
      </c>
      <c r="I152" s="694" t="s">
        <v>381</v>
      </c>
      <c r="J152" s="694" t="s">
        <v>382</v>
      </c>
      <c r="K152" s="695" t="s">
        <v>452</v>
      </c>
      <c r="L152" s="695" t="s">
        <v>983</v>
      </c>
      <c r="M152" s="695" t="s">
        <v>984</v>
      </c>
      <c r="N152" s="694" t="s">
        <v>985</v>
      </c>
      <c r="O152" s="694" t="s">
        <v>387</v>
      </c>
      <c r="P152" s="696">
        <v>2.0499999999999998</v>
      </c>
      <c r="Q152" s="694" t="s">
        <v>434</v>
      </c>
      <c r="R152" s="697">
        <v>11442.34</v>
      </c>
      <c r="S152" s="697">
        <v>1267.48</v>
      </c>
      <c r="T152" s="697">
        <v>12709.82</v>
      </c>
      <c r="U152" s="697">
        <v>20694.990000000002</v>
      </c>
      <c r="V152" s="697">
        <v>20694.990000000002</v>
      </c>
      <c r="W152" s="697">
        <v>15092.7</v>
      </c>
      <c r="X152" s="698">
        <v>0</v>
      </c>
      <c r="Y152" s="698">
        <v>71</v>
      </c>
      <c r="Z152" s="698">
        <v>21</v>
      </c>
    </row>
    <row r="153" spans="1:26">
      <c r="A153" s="699" t="s">
        <v>986</v>
      </c>
      <c r="B153" s="699" t="s">
        <v>283</v>
      </c>
      <c r="C153" s="699" t="s">
        <v>987</v>
      </c>
      <c r="D153" s="699" t="s">
        <v>391</v>
      </c>
      <c r="E153" s="699" t="s">
        <v>377</v>
      </c>
      <c r="F153" s="699" t="s">
        <v>476</v>
      </c>
      <c r="G153" s="699" t="s">
        <v>477</v>
      </c>
      <c r="H153" s="699" t="s">
        <v>380</v>
      </c>
      <c r="I153" s="699" t="s">
        <v>498</v>
      </c>
      <c r="J153" s="699" t="s">
        <v>382</v>
      </c>
      <c r="K153" s="700" t="s">
        <v>626</v>
      </c>
      <c r="L153" s="700" t="s">
        <v>988</v>
      </c>
      <c r="M153" s="700" t="s">
        <v>989</v>
      </c>
      <c r="N153" s="699" t="s">
        <v>510</v>
      </c>
      <c r="O153" s="699" t="s">
        <v>387</v>
      </c>
      <c r="P153" s="701">
        <v>2.85</v>
      </c>
      <c r="Q153" s="699" t="s">
        <v>412</v>
      </c>
      <c r="R153" s="702">
        <v>1578.62</v>
      </c>
      <c r="S153" s="702">
        <v>11117.93</v>
      </c>
      <c r="T153" s="702">
        <v>12696.55</v>
      </c>
      <c r="U153" s="702">
        <v>19873.97</v>
      </c>
      <c r="V153" s="702">
        <v>19873.97</v>
      </c>
      <c r="W153" s="702">
        <v>13974.46</v>
      </c>
      <c r="X153" s="703">
        <v>0</v>
      </c>
      <c r="Y153" s="703">
        <v>24</v>
      </c>
      <c r="Z153" s="703">
        <v>35</v>
      </c>
    </row>
    <row r="154" spans="1:26">
      <c r="A154" s="694" t="s">
        <v>990</v>
      </c>
      <c r="B154" s="694" t="s">
        <v>284</v>
      </c>
      <c r="C154" s="694" t="s">
        <v>991</v>
      </c>
      <c r="D154" s="694" t="s">
        <v>391</v>
      </c>
      <c r="E154" s="694" t="s">
        <v>377</v>
      </c>
      <c r="F154" s="694" t="s">
        <v>378</v>
      </c>
      <c r="G154" s="694" t="s">
        <v>392</v>
      </c>
      <c r="H154" s="694" t="s">
        <v>393</v>
      </c>
      <c r="I154" s="694" t="s">
        <v>400</v>
      </c>
      <c r="J154" s="694" t="s">
        <v>401</v>
      </c>
      <c r="K154" s="695" t="s">
        <v>408</v>
      </c>
      <c r="L154" s="695" t="s">
        <v>768</v>
      </c>
      <c r="M154" s="695" t="s">
        <v>410</v>
      </c>
      <c r="N154" s="694" t="s">
        <v>860</v>
      </c>
      <c r="O154" s="694" t="s">
        <v>491</v>
      </c>
      <c r="P154" s="696"/>
      <c r="Q154" s="694" t="s">
        <v>46</v>
      </c>
      <c r="R154" s="697">
        <v>5539.64</v>
      </c>
      <c r="S154" s="697">
        <v>6920.93</v>
      </c>
      <c r="T154" s="697">
        <v>12460.57</v>
      </c>
      <c r="U154" s="697">
        <v>29491.46</v>
      </c>
      <c r="V154" s="697">
        <v>24306.46</v>
      </c>
      <c r="W154" s="697">
        <v>16905.28</v>
      </c>
      <c r="X154" s="698">
        <v>0</v>
      </c>
      <c r="Y154" s="698">
        <v>62</v>
      </c>
      <c r="Z154" s="698">
        <v>19</v>
      </c>
    </row>
    <row r="155" spans="1:26">
      <c r="A155" s="699" t="s">
        <v>992</v>
      </c>
      <c r="B155" s="699" t="s">
        <v>285</v>
      </c>
      <c r="C155" s="699" t="s">
        <v>993</v>
      </c>
      <c r="D155" s="699" t="s">
        <v>376</v>
      </c>
      <c r="E155" s="699" t="s">
        <v>377</v>
      </c>
      <c r="F155" s="699" t="s">
        <v>476</v>
      </c>
      <c r="G155" s="699" t="s">
        <v>477</v>
      </c>
      <c r="H155" s="699" t="s">
        <v>380</v>
      </c>
      <c r="I155" s="699" t="s">
        <v>429</v>
      </c>
      <c r="J155" s="699" t="s">
        <v>382</v>
      </c>
      <c r="K155" s="700" t="s">
        <v>452</v>
      </c>
      <c r="L155" s="700" t="s">
        <v>457</v>
      </c>
      <c r="M155" s="700" t="s">
        <v>994</v>
      </c>
      <c r="N155" s="699" t="s">
        <v>860</v>
      </c>
      <c r="O155" s="699" t="s">
        <v>387</v>
      </c>
      <c r="P155" s="701">
        <v>4.4400000000000004</v>
      </c>
      <c r="Q155" s="699" t="s">
        <v>412</v>
      </c>
      <c r="R155" s="702">
        <v>9064.18</v>
      </c>
      <c r="S155" s="702">
        <v>3290.36</v>
      </c>
      <c r="T155" s="702">
        <v>12354.54</v>
      </c>
      <c r="U155" s="702">
        <v>32084.65</v>
      </c>
      <c r="V155" s="702">
        <v>32084.65</v>
      </c>
      <c r="W155" s="702">
        <v>16958.810000000001</v>
      </c>
      <c r="X155" s="703">
        <v>0</v>
      </c>
      <c r="Y155" s="703">
        <v>34</v>
      </c>
      <c r="Z155" s="703">
        <v>22</v>
      </c>
    </row>
    <row r="156" spans="1:26">
      <c r="A156" s="694" t="s">
        <v>995</v>
      </c>
      <c r="B156" s="694" t="s">
        <v>286</v>
      </c>
      <c r="C156" s="694" t="s">
        <v>996</v>
      </c>
      <c r="D156" s="694" t="s">
        <v>391</v>
      </c>
      <c r="E156" s="694" t="s">
        <v>377</v>
      </c>
      <c r="F156" s="694" t="s">
        <v>378</v>
      </c>
      <c r="G156" s="694" t="s">
        <v>635</v>
      </c>
      <c r="H156" s="694" t="s">
        <v>636</v>
      </c>
      <c r="I156" s="694" t="s">
        <v>400</v>
      </c>
      <c r="J156" s="694" t="s">
        <v>401</v>
      </c>
      <c r="K156" s="695" t="s">
        <v>767</v>
      </c>
      <c r="L156" s="695" t="s">
        <v>711</v>
      </c>
      <c r="M156" s="695" t="s">
        <v>997</v>
      </c>
      <c r="N156" s="694" t="s">
        <v>732</v>
      </c>
      <c r="O156" s="694" t="s">
        <v>425</v>
      </c>
      <c r="P156" s="696"/>
      <c r="Q156" s="694" t="s">
        <v>46</v>
      </c>
      <c r="R156" s="697">
        <v>11334.01</v>
      </c>
      <c r="S156" s="697">
        <v>990.46</v>
      </c>
      <c r="T156" s="697">
        <v>12324.47</v>
      </c>
      <c r="U156" s="697">
        <v>23301.87</v>
      </c>
      <c r="V156" s="697">
        <v>23301.87</v>
      </c>
      <c r="W156" s="697">
        <v>14600.64</v>
      </c>
      <c r="X156" s="698">
        <v>0</v>
      </c>
      <c r="Y156" s="698">
        <v>86</v>
      </c>
      <c r="Z156" s="698">
        <v>13</v>
      </c>
    </row>
    <row r="157" spans="1:26">
      <c r="A157" s="699" t="s">
        <v>998</v>
      </c>
      <c r="B157" s="699" t="s">
        <v>287</v>
      </c>
      <c r="C157" s="699" t="s">
        <v>999</v>
      </c>
      <c r="D157" s="699" t="s">
        <v>391</v>
      </c>
      <c r="E157" s="699" t="s">
        <v>377</v>
      </c>
      <c r="F157" s="699" t="s">
        <v>378</v>
      </c>
      <c r="G157" s="699" t="s">
        <v>392</v>
      </c>
      <c r="H157" s="699" t="s">
        <v>393</v>
      </c>
      <c r="I157" s="699" t="s">
        <v>381</v>
      </c>
      <c r="J157" s="699" t="s">
        <v>401</v>
      </c>
      <c r="K157" s="700" t="s">
        <v>595</v>
      </c>
      <c r="L157" s="700" t="s">
        <v>1000</v>
      </c>
      <c r="M157" s="700" t="s">
        <v>1001</v>
      </c>
      <c r="N157" s="699" t="s">
        <v>1002</v>
      </c>
      <c r="O157" s="699" t="s">
        <v>1003</v>
      </c>
      <c r="P157" s="701"/>
      <c r="Q157" s="699" t="s">
        <v>46</v>
      </c>
      <c r="R157" s="702">
        <v>11679.79</v>
      </c>
      <c r="S157" s="702">
        <v>429.7</v>
      </c>
      <c r="T157" s="702">
        <v>12109.49</v>
      </c>
      <c r="U157" s="702">
        <v>20349.419999999998</v>
      </c>
      <c r="V157" s="702">
        <v>20064.419999999998</v>
      </c>
      <c r="W157" s="702">
        <v>13597.31</v>
      </c>
      <c r="X157" s="703">
        <v>0</v>
      </c>
      <c r="Y157" s="703">
        <v>34</v>
      </c>
      <c r="Z157" s="703">
        <v>13</v>
      </c>
    </row>
    <row r="158" spans="1:26">
      <c r="A158" s="694" t="s">
        <v>1004</v>
      </c>
      <c r="B158" s="694" t="s">
        <v>288</v>
      </c>
      <c r="C158" s="694" t="s">
        <v>1005</v>
      </c>
      <c r="D158" s="694" t="s">
        <v>391</v>
      </c>
      <c r="E158" s="694" t="s">
        <v>377</v>
      </c>
      <c r="F158" s="694" t="s">
        <v>378</v>
      </c>
      <c r="G158" s="694" t="s">
        <v>379</v>
      </c>
      <c r="H158" s="694" t="s">
        <v>380</v>
      </c>
      <c r="I158" s="694" t="s">
        <v>429</v>
      </c>
      <c r="J158" s="694" t="s">
        <v>382</v>
      </c>
      <c r="K158" s="695" t="s">
        <v>767</v>
      </c>
      <c r="L158" s="695" t="s">
        <v>901</v>
      </c>
      <c r="M158" s="695" t="s">
        <v>686</v>
      </c>
      <c r="N158" s="694" t="s">
        <v>1006</v>
      </c>
      <c r="O158" s="694" t="s">
        <v>387</v>
      </c>
      <c r="P158" s="696">
        <v>1.25</v>
      </c>
      <c r="Q158" s="694" t="s">
        <v>434</v>
      </c>
      <c r="R158" s="697">
        <v>11726.29</v>
      </c>
      <c r="S158" s="697">
        <v>272.64</v>
      </c>
      <c r="T158" s="697">
        <v>11998.93</v>
      </c>
      <c r="U158" s="697">
        <v>23630.68</v>
      </c>
      <c r="V158" s="697">
        <v>23547.68</v>
      </c>
      <c r="W158" s="697">
        <v>13125.84</v>
      </c>
      <c r="X158" s="698">
        <v>0</v>
      </c>
      <c r="Y158" s="698">
        <v>101</v>
      </c>
      <c r="Z158" s="698">
        <v>9</v>
      </c>
    </row>
    <row r="159" spans="1:26">
      <c r="A159" s="699" t="s">
        <v>1007</v>
      </c>
      <c r="B159" s="699" t="s">
        <v>289</v>
      </c>
      <c r="C159" s="699" t="s">
        <v>1008</v>
      </c>
      <c r="D159" s="699" t="s">
        <v>391</v>
      </c>
      <c r="E159" s="699" t="s">
        <v>377</v>
      </c>
      <c r="F159" s="699" t="s">
        <v>378</v>
      </c>
      <c r="G159" s="699" t="s">
        <v>392</v>
      </c>
      <c r="H159" s="699" t="s">
        <v>393</v>
      </c>
      <c r="I159" s="699" t="s">
        <v>381</v>
      </c>
      <c r="J159" s="699" t="s">
        <v>382</v>
      </c>
      <c r="K159" s="700" t="s">
        <v>408</v>
      </c>
      <c r="L159" s="700" t="s">
        <v>409</v>
      </c>
      <c r="M159" s="700" t="s">
        <v>997</v>
      </c>
      <c r="N159" s="699" t="s">
        <v>1009</v>
      </c>
      <c r="O159" s="699" t="s">
        <v>387</v>
      </c>
      <c r="P159" s="701">
        <v>4.37</v>
      </c>
      <c r="Q159" s="699" t="s">
        <v>412</v>
      </c>
      <c r="R159" s="702">
        <v>7935.26</v>
      </c>
      <c r="S159" s="702">
        <v>4017.54</v>
      </c>
      <c r="T159" s="702">
        <v>11952.8</v>
      </c>
      <c r="U159" s="702">
        <v>28355.279999999999</v>
      </c>
      <c r="V159" s="702">
        <v>28355.279999999999</v>
      </c>
      <c r="W159" s="702">
        <v>14069.6</v>
      </c>
      <c r="X159" s="703">
        <v>0</v>
      </c>
      <c r="Y159" s="703">
        <v>45</v>
      </c>
      <c r="Z159" s="703">
        <v>73</v>
      </c>
    </row>
    <row r="160" spans="1:26">
      <c r="A160" s="694" t="s">
        <v>1010</v>
      </c>
      <c r="B160" s="694" t="s">
        <v>290</v>
      </c>
      <c r="C160" s="694" t="s">
        <v>1011</v>
      </c>
      <c r="D160" s="694" t="s">
        <v>376</v>
      </c>
      <c r="E160" s="694" t="s">
        <v>377</v>
      </c>
      <c r="F160" s="694" t="s">
        <v>378</v>
      </c>
      <c r="G160" s="694" t="s">
        <v>379</v>
      </c>
      <c r="H160" s="694" t="s">
        <v>380</v>
      </c>
      <c r="I160" s="694" t="s">
        <v>429</v>
      </c>
      <c r="J160" s="694" t="s">
        <v>382</v>
      </c>
      <c r="K160" s="695" t="s">
        <v>1012</v>
      </c>
      <c r="L160" s="695" t="s">
        <v>1013</v>
      </c>
      <c r="M160" s="695" t="s">
        <v>1014</v>
      </c>
      <c r="N160" s="694" t="s">
        <v>860</v>
      </c>
      <c r="O160" s="694" t="s">
        <v>387</v>
      </c>
      <c r="P160" s="696">
        <v>1.92</v>
      </c>
      <c r="Q160" s="694" t="s">
        <v>434</v>
      </c>
      <c r="R160" s="697">
        <v>5992.84</v>
      </c>
      <c r="S160" s="697">
        <v>5825.63</v>
      </c>
      <c r="T160" s="697">
        <v>11818.47</v>
      </c>
      <c r="U160" s="697">
        <v>19997.310000000001</v>
      </c>
      <c r="V160" s="697">
        <v>19997.310000000001</v>
      </c>
      <c r="W160" s="697">
        <v>15518.46</v>
      </c>
      <c r="X160" s="698">
        <v>0</v>
      </c>
      <c r="Y160" s="698">
        <v>33</v>
      </c>
      <c r="Z160" s="698">
        <v>18</v>
      </c>
    </row>
    <row r="161" spans="1:26">
      <c r="A161" s="699" t="s">
        <v>1015</v>
      </c>
      <c r="B161" s="699" t="s">
        <v>291</v>
      </c>
      <c r="C161" s="699" t="s">
        <v>1016</v>
      </c>
      <c r="D161" s="699" t="s">
        <v>391</v>
      </c>
      <c r="E161" s="699" t="s">
        <v>377</v>
      </c>
      <c r="F161" s="699" t="s">
        <v>378</v>
      </c>
      <c r="G161" s="699" t="s">
        <v>379</v>
      </c>
      <c r="H161" s="699" t="s">
        <v>380</v>
      </c>
      <c r="I161" s="699" t="s">
        <v>381</v>
      </c>
      <c r="J161" s="699" t="s">
        <v>382</v>
      </c>
      <c r="K161" s="700" t="s">
        <v>452</v>
      </c>
      <c r="L161" s="700" t="s">
        <v>1017</v>
      </c>
      <c r="M161" s="700" t="s">
        <v>1018</v>
      </c>
      <c r="N161" s="699" t="s">
        <v>685</v>
      </c>
      <c r="O161" s="699" t="s">
        <v>387</v>
      </c>
      <c r="P161" s="701">
        <v>1.59</v>
      </c>
      <c r="Q161" s="699" t="s">
        <v>434</v>
      </c>
      <c r="R161" s="702">
        <v>11688.7</v>
      </c>
      <c r="S161" s="702">
        <v>126.55</v>
      </c>
      <c r="T161" s="702">
        <v>11815.25</v>
      </c>
      <c r="U161" s="702">
        <v>23485.919999999998</v>
      </c>
      <c r="V161" s="702">
        <v>22900.92</v>
      </c>
      <c r="W161" s="702">
        <v>14770.97</v>
      </c>
      <c r="X161" s="703">
        <v>0</v>
      </c>
      <c r="Y161" s="703">
        <v>42</v>
      </c>
      <c r="Z161" s="703">
        <v>6</v>
      </c>
    </row>
    <row r="162" spans="1:26">
      <c r="A162" s="694" t="s">
        <v>1019</v>
      </c>
      <c r="B162" s="694" t="s">
        <v>292</v>
      </c>
      <c r="C162" s="694" t="s">
        <v>1020</v>
      </c>
      <c r="D162" s="694" t="s">
        <v>376</v>
      </c>
      <c r="E162" s="694" t="s">
        <v>377</v>
      </c>
      <c r="F162" s="694" t="s">
        <v>378</v>
      </c>
      <c r="G162" s="694" t="s">
        <v>379</v>
      </c>
      <c r="H162" s="694" t="s">
        <v>380</v>
      </c>
      <c r="I162" s="694" t="s">
        <v>400</v>
      </c>
      <c r="J162" s="694" t="s">
        <v>382</v>
      </c>
      <c r="K162" s="695" t="s">
        <v>421</v>
      </c>
      <c r="L162" s="695" t="s">
        <v>1021</v>
      </c>
      <c r="M162" s="695" t="s">
        <v>1022</v>
      </c>
      <c r="N162" s="694" t="s">
        <v>569</v>
      </c>
      <c r="O162" s="694" t="s">
        <v>515</v>
      </c>
      <c r="P162" s="696">
        <v>1.88</v>
      </c>
      <c r="Q162" s="694" t="s">
        <v>434</v>
      </c>
      <c r="R162" s="697">
        <v>11599.06</v>
      </c>
      <c r="S162" s="697">
        <v>186.81</v>
      </c>
      <c r="T162" s="697">
        <v>11785.87</v>
      </c>
      <c r="U162" s="697">
        <v>26001.58</v>
      </c>
      <c r="V162" s="697">
        <v>21401.58</v>
      </c>
      <c r="W162" s="697">
        <v>14160.43</v>
      </c>
      <c r="X162" s="698">
        <v>0</v>
      </c>
      <c r="Y162" s="698">
        <v>33</v>
      </c>
      <c r="Z162" s="698">
        <v>2</v>
      </c>
    </row>
    <row r="163" spans="1:26">
      <c r="A163" s="699" t="s">
        <v>1023</v>
      </c>
      <c r="B163" s="699" t="s">
        <v>293</v>
      </c>
      <c r="C163" s="699" t="s">
        <v>1024</v>
      </c>
      <c r="D163" s="699" t="s">
        <v>376</v>
      </c>
      <c r="E163" s="699" t="s">
        <v>377</v>
      </c>
      <c r="F163" s="699" t="s">
        <v>476</v>
      </c>
      <c r="G163" s="699" t="s">
        <v>477</v>
      </c>
      <c r="H163" s="699" t="s">
        <v>380</v>
      </c>
      <c r="I163" s="699" t="s">
        <v>498</v>
      </c>
      <c r="J163" s="699" t="s">
        <v>382</v>
      </c>
      <c r="K163" s="700" t="s">
        <v>383</v>
      </c>
      <c r="L163" s="700" t="s">
        <v>488</v>
      </c>
      <c r="M163" s="700" t="s">
        <v>1025</v>
      </c>
      <c r="N163" s="699" t="s">
        <v>1026</v>
      </c>
      <c r="O163" s="699" t="s">
        <v>387</v>
      </c>
      <c r="P163" s="701">
        <v>7.86</v>
      </c>
      <c r="Q163" s="699" t="s">
        <v>412</v>
      </c>
      <c r="R163" s="702">
        <v>11693.97</v>
      </c>
      <c r="S163" s="702">
        <v>61.99</v>
      </c>
      <c r="T163" s="702">
        <v>11755.96</v>
      </c>
      <c r="U163" s="702">
        <v>19199.330000000002</v>
      </c>
      <c r="V163" s="702">
        <v>18645.330000000002</v>
      </c>
      <c r="W163" s="702">
        <v>14760.12</v>
      </c>
      <c r="X163" s="703">
        <v>0</v>
      </c>
      <c r="Y163" s="703">
        <v>32</v>
      </c>
      <c r="Z163" s="703">
        <v>7</v>
      </c>
    </row>
    <row r="164" spans="1:26">
      <c r="A164" s="694" t="s">
        <v>1027</v>
      </c>
      <c r="B164" s="694" t="s">
        <v>294</v>
      </c>
      <c r="C164" s="694" t="s">
        <v>1028</v>
      </c>
      <c r="D164" s="694" t="s">
        <v>376</v>
      </c>
      <c r="E164" s="694" t="s">
        <v>377</v>
      </c>
      <c r="F164" s="694" t="s">
        <v>378</v>
      </c>
      <c r="G164" s="694" t="s">
        <v>379</v>
      </c>
      <c r="H164" s="694" t="s">
        <v>380</v>
      </c>
      <c r="I164" s="694" t="s">
        <v>429</v>
      </c>
      <c r="J164" s="694" t="s">
        <v>382</v>
      </c>
      <c r="K164" s="695" t="s">
        <v>585</v>
      </c>
      <c r="L164" s="695" t="s">
        <v>1029</v>
      </c>
      <c r="M164" s="695" t="s">
        <v>1030</v>
      </c>
      <c r="N164" s="694" t="s">
        <v>1031</v>
      </c>
      <c r="O164" s="694" t="s">
        <v>387</v>
      </c>
      <c r="P164" s="696">
        <v>0.5</v>
      </c>
      <c r="Q164" s="694" t="s">
        <v>434</v>
      </c>
      <c r="R164" s="697">
        <v>11725.67</v>
      </c>
      <c r="S164" s="697">
        <v>13.97</v>
      </c>
      <c r="T164" s="697">
        <v>11739.64</v>
      </c>
      <c r="U164" s="697">
        <v>22624.7</v>
      </c>
      <c r="V164" s="697">
        <v>22389.7</v>
      </c>
      <c r="W164" s="697">
        <v>17556.32</v>
      </c>
      <c r="X164" s="698">
        <v>1</v>
      </c>
      <c r="Y164" s="698">
        <v>41</v>
      </c>
      <c r="Z164" s="698">
        <v>3</v>
      </c>
    </row>
    <row r="165" spans="1:26">
      <c r="A165" s="699" t="s">
        <v>1032</v>
      </c>
      <c r="B165" s="699" t="s">
        <v>295</v>
      </c>
      <c r="C165" s="699" t="s">
        <v>1033</v>
      </c>
      <c r="D165" s="699" t="s">
        <v>376</v>
      </c>
      <c r="E165" s="699" t="s">
        <v>377</v>
      </c>
      <c r="F165" s="699" t="s">
        <v>378</v>
      </c>
      <c r="G165" s="699" t="s">
        <v>392</v>
      </c>
      <c r="H165" s="699" t="s">
        <v>393</v>
      </c>
      <c r="I165" s="699" t="s">
        <v>381</v>
      </c>
      <c r="J165" s="699" t="s">
        <v>382</v>
      </c>
      <c r="K165" s="700" t="s">
        <v>499</v>
      </c>
      <c r="L165" s="700" t="s">
        <v>693</v>
      </c>
      <c r="M165" s="700" t="s">
        <v>1034</v>
      </c>
      <c r="N165" s="699" t="s">
        <v>1009</v>
      </c>
      <c r="O165" s="699" t="s">
        <v>387</v>
      </c>
      <c r="P165" s="701">
        <v>1.51</v>
      </c>
      <c r="Q165" s="699" t="s">
        <v>434</v>
      </c>
      <c r="R165" s="702">
        <v>2460.91</v>
      </c>
      <c r="S165" s="702">
        <v>9078.8799999999992</v>
      </c>
      <c r="T165" s="702">
        <v>11539.79</v>
      </c>
      <c r="U165" s="702">
        <v>19394.28</v>
      </c>
      <c r="V165" s="702">
        <v>19284.28</v>
      </c>
      <c r="W165" s="702">
        <v>13066.19</v>
      </c>
      <c r="X165" s="703">
        <v>0</v>
      </c>
      <c r="Y165" s="703">
        <v>45</v>
      </c>
      <c r="Z165" s="703">
        <v>31</v>
      </c>
    </row>
    <row r="166" spans="1:26">
      <c r="A166" s="694" t="s">
        <v>1035</v>
      </c>
      <c r="B166" s="694" t="s">
        <v>296</v>
      </c>
      <c r="C166" s="694" t="s">
        <v>1036</v>
      </c>
      <c r="D166" s="694" t="s">
        <v>376</v>
      </c>
      <c r="E166" s="694" t="s">
        <v>377</v>
      </c>
      <c r="F166" s="694" t="s">
        <v>378</v>
      </c>
      <c r="G166" s="694" t="s">
        <v>379</v>
      </c>
      <c r="H166" s="694" t="s">
        <v>380</v>
      </c>
      <c r="I166" s="694" t="s">
        <v>400</v>
      </c>
      <c r="J166" s="694" t="s">
        <v>382</v>
      </c>
      <c r="K166" s="695" t="s">
        <v>408</v>
      </c>
      <c r="L166" s="695" t="s">
        <v>1037</v>
      </c>
      <c r="M166" s="695" t="s">
        <v>1038</v>
      </c>
      <c r="N166" s="694" t="s">
        <v>695</v>
      </c>
      <c r="O166" s="694" t="s">
        <v>387</v>
      </c>
      <c r="P166" s="696">
        <v>1.28</v>
      </c>
      <c r="Q166" s="694" t="s">
        <v>434</v>
      </c>
      <c r="R166" s="697">
        <v>10886.34</v>
      </c>
      <c r="S166" s="697">
        <v>625.36</v>
      </c>
      <c r="T166" s="697">
        <v>11511.7</v>
      </c>
      <c r="U166" s="697">
        <v>21963.94</v>
      </c>
      <c r="V166" s="697">
        <v>21518.94</v>
      </c>
      <c r="W166" s="697">
        <v>13414.48</v>
      </c>
      <c r="X166" s="698">
        <v>0</v>
      </c>
      <c r="Y166" s="698">
        <v>78</v>
      </c>
      <c r="Z166" s="698">
        <v>14</v>
      </c>
    </row>
    <row r="167" spans="1:26">
      <c r="A167" s="699" t="s">
        <v>1039</v>
      </c>
      <c r="B167" s="699" t="s">
        <v>297</v>
      </c>
      <c r="C167" s="699" t="s">
        <v>1040</v>
      </c>
      <c r="D167" s="699" t="s">
        <v>391</v>
      </c>
      <c r="E167" s="699" t="s">
        <v>377</v>
      </c>
      <c r="F167" s="699" t="s">
        <v>378</v>
      </c>
      <c r="G167" s="699" t="s">
        <v>379</v>
      </c>
      <c r="H167" s="699" t="s">
        <v>380</v>
      </c>
      <c r="I167" s="699" t="s">
        <v>381</v>
      </c>
      <c r="J167" s="699" t="s">
        <v>382</v>
      </c>
      <c r="K167" s="700" t="s">
        <v>408</v>
      </c>
      <c r="L167" s="700" t="s">
        <v>409</v>
      </c>
      <c r="M167" s="700" t="s">
        <v>410</v>
      </c>
      <c r="N167" s="699" t="s">
        <v>1041</v>
      </c>
      <c r="O167" s="699" t="s">
        <v>387</v>
      </c>
      <c r="P167" s="701">
        <v>1.76</v>
      </c>
      <c r="Q167" s="699" t="s">
        <v>434</v>
      </c>
      <c r="R167" s="702">
        <v>7967.99</v>
      </c>
      <c r="S167" s="702">
        <v>3451.01</v>
      </c>
      <c r="T167" s="702">
        <v>11419</v>
      </c>
      <c r="U167" s="702">
        <v>21818.26</v>
      </c>
      <c r="V167" s="702">
        <v>21818.26</v>
      </c>
      <c r="W167" s="702">
        <v>13803.02</v>
      </c>
      <c r="X167" s="703">
        <v>0</v>
      </c>
      <c r="Y167" s="703">
        <v>75</v>
      </c>
      <c r="Z167" s="703">
        <v>36</v>
      </c>
    </row>
    <row r="168" spans="1:26">
      <c r="A168" s="694" t="s">
        <v>1042</v>
      </c>
      <c r="B168" s="694" t="s">
        <v>298</v>
      </c>
      <c r="C168" s="694" t="s">
        <v>1043</v>
      </c>
      <c r="D168" s="694" t="s">
        <v>376</v>
      </c>
      <c r="E168" s="694" t="s">
        <v>377</v>
      </c>
      <c r="F168" s="694" t="s">
        <v>378</v>
      </c>
      <c r="G168" s="694" t="s">
        <v>379</v>
      </c>
      <c r="H168" s="694" t="s">
        <v>380</v>
      </c>
      <c r="I168" s="694" t="s">
        <v>381</v>
      </c>
      <c r="J168" s="694" t="s">
        <v>382</v>
      </c>
      <c r="K168" s="695" t="s">
        <v>452</v>
      </c>
      <c r="L168" s="695" t="s">
        <v>457</v>
      </c>
      <c r="M168" s="695" t="s">
        <v>994</v>
      </c>
      <c r="N168" s="694" t="s">
        <v>471</v>
      </c>
      <c r="O168" s="694" t="s">
        <v>387</v>
      </c>
      <c r="P168" s="696">
        <v>2.57</v>
      </c>
      <c r="Q168" s="694" t="s">
        <v>434</v>
      </c>
      <c r="R168" s="697">
        <v>4046.83</v>
      </c>
      <c r="S168" s="697">
        <v>7361.18</v>
      </c>
      <c r="T168" s="697">
        <v>11408.01</v>
      </c>
      <c r="U168" s="697">
        <v>24755.25</v>
      </c>
      <c r="V168" s="697">
        <v>24755.25</v>
      </c>
      <c r="W168" s="697">
        <v>13133.96</v>
      </c>
      <c r="X168" s="698">
        <v>0</v>
      </c>
      <c r="Y168" s="698">
        <v>23</v>
      </c>
      <c r="Z168" s="698">
        <v>30</v>
      </c>
    </row>
    <row r="169" spans="1:26">
      <c r="A169" s="699" t="s">
        <v>1044</v>
      </c>
      <c r="B169" s="699" t="s">
        <v>299</v>
      </c>
      <c r="C169" s="699" t="s">
        <v>1045</v>
      </c>
      <c r="D169" s="699" t="s">
        <v>391</v>
      </c>
      <c r="E169" s="699" t="s">
        <v>377</v>
      </c>
      <c r="F169" s="699" t="s">
        <v>378</v>
      </c>
      <c r="G169" s="699" t="s">
        <v>379</v>
      </c>
      <c r="H169" s="699" t="s">
        <v>380</v>
      </c>
      <c r="I169" s="699" t="s">
        <v>381</v>
      </c>
      <c r="J169" s="699" t="s">
        <v>382</v>
      </c>
      <c r="K169" s="700" t="s">
        <v>585</v>
      </c>
      <c r="L169" s="700" t="s">
        <v>606</v>
      </c>
      <c r="M169" s="700" t="s">
        <v>1046</v>
      </c>
      <c r="N169" s="699" t="s">
        <v>1047</v>
      </c>
      <c r="O169" s="699" t="s">
        <v>387</v>
      </c>
      <c r="P169" s="701">
        <v>2.52</v>
      </c>
      <c r="Q169" s="699" t="s">
        <v>434</v>
      </c>
      <c r="R169" s="702">
        <v>10098.94</v>
      </c>
      <c r="S169" s="702">
        <v>1307.8399999999999</v>
      </c>
      <c r="T169" s="702">
        <v>11406.78</v>
      </c>
      <c r="U169" s="702">
        <v>124005.62</v>
      </c>
      <c r="V169" s="702">
        <v>71906.33</v>
      </c>
      <c r="W169" s="702">
        <v>51395.39</v>
      </c>
      <c r="X169" s="703">
        <v>0</v>
      </c>
      <c r="Y169" s="703">
        <v>193</v>
      </c>
      <c r="Z169" s="703">
        <v>9</v>
      </c>
    </row>
    <row r="170" spans="1:26">
      <c r="A170" s="694" t="s">
        <v>1048</v>
      </c>
      <c r="B170" s="694" t="s">
        <v>300</v>
      </c>
      <c r="C170" s="694" t="s">
        <v>1049</v>
      </c>
      <c r="D170" s="694" t="s">
        <v>391</v>
      </c>
      <c r="E170" s="694" t="s">
        <v>377</v>
      </c>
      <c r="F170" s="694" t="s">
        <v>378</v>
      </c>
      <c r="G170" s="694" t="s">
        <v>379</v>
      </c>
      <c r="H170" s="694" t="s">
        <v>380</v>
      </c>
      <c r="I170" s="694" t="s">
        <v>400</v>
      </c>
      <c r="J170" s="694" t="s">
        <v>382</v>
      </c>
      <c r="K170" s="695" t="s">
        <v>595</v>
      </c>
      <c r="L170" s="695" t="s">
        <v>1050</v>
      </c>
      <c r="M170" s="695" t="s">
        <v>1051</v>
      </c>
      <c r="N170" s="694" t="s">
        <v>510</v>
      </c>
      <c r="O170" s="694" t="s">
        <v>387</v>
      </c>
      <c r="P170" s="696">
        <v>1.38</v>
      </c>
      <c r="Q170" s="694" t="s">
        <v>434</v>
      </c>
      <c r="R170" s="697">
        <v>4622.96</v>
      </c>
      <c r="S170" s="697">
        <v>6776.08</v>
      </c>
      <c r="T170" s="697">
        <v>11399.04</v>
      </c>
      <c r="U170" s="697">
        <v>20928.59</v>
      </c>
      <c r="V170" s="697">
        <v>20468.59</v>
      </c>
      <c r="W170" s="697">
        <v>12943.19</v>
      </c>
      <c r="X170" s="698">
        <v>0</v>
      </c>
      <c r="Y170" s="698">
        <v>73</v>
      </c>
      <c r="Z170" s="698">
        <v>21</v>
      </c>
    </row>
    <row r="171" spans="1:26" ht="25.5">
      <c r="A171" s="699" t="s">
        <v>1052</v>
      </c>
      <c r="B171" s="699" t="s">
        <v>301</v>
      </c>
      <c r="C171" s="699" t="s">
        <v>1053</v>
      </c>
      <c r="D171" s="699" t="s">
        <v>428</v>
      </c>
      <c r="E171" s="699" t="s">
        <v>377</v>
      </c>
      <c r="F171" s="699" t="s">
        <v>378</v>
      </c>
      <c r="G171" s="699" t="s">
        <v>392</v>
      </c>
      <c r="H171" s="699" t="s">
        <v>393</v>
      </c>
      <c r="I171" s="699" t="s">
        <v>381</v>
      </c>
      <c r="J171" s="699" t="s">
        <v>382</v>
      </c>
      <c r="K171" s="700" t="s">
        <v>499</v>
      </c>
      <c r="L171" s="700" t="s">
        <v>748</v>
      </c>
      <c r="M171" s="700" t="s">
        <v>1054</v>
      </c>
      <c r="N171" s="699" t="s">
        <v>1055</v>
      </c>
      <c r="O171" s="699" t="s">
        <v>515</v>
      </c>
      <c r="P171" s="701">
        <v>0.48</v>
      </c>
      <c r="Q171" s="699" t="s">
        <v>434</v>
      </c>
      <c r="R171" s="702">
        <v>11357.18</v>
      </c>
      <c r="S171" s="702">
        <v>12.1</v>
      </c>
      <c r="T171" s="702">
        <v>11369.28</v>
      </c>
      <c r="U171" s="702">
        <v>5375.98</v>
      </c>
      <c r="V171" s="702">
        <v>25582.11</v>
      </c>
      <c r="W171" s="702">
        <v>12943.14</v>
      </c>
      <c r="X171" s="703">
        <v>0</v>
      </c>
      <c r="Y171" s="703">
        <v>35</v>
      </c>
      <c r="Z171" s="703">
        <v>4</v>
      </c>
    </row>
    <row r="172" spans="1:26" ht="25.5">
      <c r="A172" s="694" t="s">
        <v>1056</v>
      </c>
      <c r="B172" s="694" t="s">
        <v>302</v>
      </c>
      <c r="C172" s="694" t="s">
        <v>1057</v>
      </c>
      <c r="D172" s="694" t="s">
        <v>376</v>
      </c>
      <c r="E172" s="694" t="s">
        <v>377</v>
      </c>
      <c r="F172" s="694" t="s">
        <v>378</v>
      </c>
      <c r="G172" s="694" t="s">
        <v>379</v>
      </c>
      <c r="H172" s="694" t="s">
        <v>380</v>
      </c>
      <c r="I172" s="694" t="s">
        <v>429</v>
      </c>
      <c r="J172" s="694" t="s">
        <v>382</v>
      </c>
      <c r="K172" s="695" t="s">
        <v>415</v>
      </c>
      <c r="L172" s="695" t="s">
        <v>1058</v>
      </c>
      <c r="M172" s="695" t="s">
        <v>1059</v>
      </c>
      <c r="N172" s="694" t="s">
        <v>443</v>
      </c>
      <c r="O172" s="694" t="s">
        <v>387</v>
      </c>
      <c r="P172" s="696">
        <v>2.65</v>
      </c>
      <c r="Q172" s="694" t="s">
        <v>412</v>
      </c>
      <c r="R172" s="697">
        <v>6756.84</v>
      </c>
      <c r="S172" s="697">
        <v>4568.54</v>
      </c>
      <c r="T172" s="697">
        <v>11325.38</v>
      </c>
      <c r="U172" s="697">
        <v>25124.52</v>
      </c>
      <c r="V172" s="697">
        <v>25124.52</v>
      </c>
      <c r="W172" s="697">
        <v>17034.04</v>
      </c>
      <c r="X172" s="698">
        <v>0</v>
      </c>
      <c r="Y172" s="698">
        <v>126</v>
      </c>
      <c r="Z172" s="698">
        <v>26</v>
      </c>
    </row>
    <row r="173" spans="1:26">
      <c r="A173" s="699" t="s">
        <v>1060</v>
      </c>
      <c r="B173" s="699" t="s">
        <v>303</v>
      </c>
      <c r="C173" s="699" t="s">
        <v>1061</v>
      </c>
      <c r="D173" s="699" t="s">
        <v>391</v>
      </c>
      <c r="E173" s="699" t="s">
        <v>377</v>
      </c>
      <c r="F173" s="699" t="s">
        <v>476</v>
      </c>
      <c r="G173" s="699" t="s">
        <v>477</v>
      </c>
      <c r="H173" s="699" t="s">
        <v>380</v>
      </c>
      <c r="I173" s="699" t="s">
        <v>446</v>
      </c>
      <c r="J173" s="699" t="s">
        <v>382</v>
      </c>
      <c r="K173" s="700" t="s">
        <v>585</v>
      </c>
      <c r="L173" s="700" t="s">
        <v>1062</v>
      </c>
      <c r="M173" s="700" t="s">
        <v>1063</v>
      </c>
      <c r="N173" s="699" t="s">
        <v>1064</v>
      </c>
      <c r="O173" s="699" t="s">
        <v>515</v>
      </c>
      <c r="P173" s="701">
        <v>0.42</v>
      </c>
      <c r="Q173" s="699" t="s">
        <v>434</v>
      </c>
      <c r="R173" s="702">
        <v>10997.21</v>
      </c>
      <c r="S173" s="702">
        <v>306.14999999999998</v>
      </c>
      <c r="T173" s="702">
        <v>11303.36</v>
      </c>
      <c r="U173" s="702">
        <v>30060.43</v>
      </c>
      <c r="V173" s="702">
        <v>29635.43</v>
      </c>
      <c r="W173" s="702">
        <v>19748.810000000001</v>
      </c>
      <c r="X173" s="703">
        <v>0</v>
      </c>
      <c r="Y173" s="703">
        <v>42</v>
      </c>
      <c r="Z173" s="703">
        <v>1</v>
      </c>
    </row>
    <row r="174" spans="1:26">
      <c r="A174" s="694" t="s">
        <v>1065</v>
      </c>
      <c r="B174" s="694" t="s">
        <v>304</v>
      </c>
      <c r="C174" s="694" t="s">
        <v>1066</v>
      </c>
      <c r="D174" s="694" t="s">
        <v>376</v>
      </c>
      <c r="E174" s="694" t="s">
        <v>377</v>
      </c>
      <c r="F174" s="694" t="s">
        <v>378</v>
      </c>
      <c r="G174" s="694" t="s">
        <v>379</v>
      </c>
      <c r="H174" s="694" t="s">
        <v>380</v>
      </c>
      <c r="I174" s="694" t="s">
        <v>429</v>
      </c>
      <c r="J174" s="694" t="s">
        <v>382</v>
      </c>
      <c r="K174" s="695" t="s">
        <v>402</v>
      </c>
      <c r="L174" s="695" t="s">
        <v>674</v>
      </c>
      <c r="M174" s="695" t="s">
        <v>675</v>
      </c>
      <c r="N174" s="694" t="s">
        <v>510</v>
      </c>
      <c r="O174" s="694" t="s">
        <v>387</v>
      </c>
      <c r="P174" s="696">
        <v>1.58</v>
      </c>
      <c r="Q174" s="694" t="s">
        <v>434</v>
      </c>
      <c r="R174" s="697">
        <v>3302.86</v>
      </c>
      <c r="S174" s="697">
        <v>7992.63</v>
      </c>
      <c r="T174" s="697">
        <v>11295.49</v>
      </c>
      <c r="U174" s="697">
        <v>23118.61</v>
      </c>
      <c r="V174" s="697">
        <v>23118.61</v>
      </c>
      <c r="W174" s="697">
        <v>15618.46</v>
      </c>
      <c r="X174" s="698">
        <v>0</v>
      </c>
      <c r="Y174" s="698">
        <v>81</v>
      </c>
      <c r="Z174" s="698">
        <v>19</v>
      </c>
    </row>
    <row r="175" spans="1:26">
      <c r="A175" s="699" t="s">
        <v>1067</v>
      </c>
      <c r="B175" s="699" t="s">
        <v>305</v>
      </c>
      <c r="C175" s="699" t="s">
        <v>1068</v>
      </c>
      <c r="D175" s="699" t="s">
        <v>376</v>
      </c>
      <c r="E175" s="699" t="s">
        <v>377</v>
      </c>
      <c r="F175" s="699" t="s">
        <v>378</v>
      </c>
      <c r="G175" s="699" t="s">
        <v>379</v>
      </c>
      <c r="H175" s="699" t="s">
        <v>380</v>
      </c>
      <c r="I175" s="699" t="s">
        <v>400</v>
      </c>
      <c r="J175" s="699" t="s">
        <v>382</v>
      </c>
      <c r="K175" s="700" t="s">
        <v>430</v>
      </c>
      <c r="L175" s="700" t="s">
        <v>547</v>
      </c>
      <c r="M175" s="700" t="s">
        <v>1069</v>
      </c>
      <c r="N175" s="699" t="s">
        <v>1070</v>
      </c>
      <c r="O175" s="699" t="s">
        <v>387</v>
      </c>
      <c r="P175" s="701">
        <v>2.52</v>
      </c>
      <c r="Q175" s="699" t="s">
        <v>434</v>
      </c>
      <c r="R175" s="702">
        <v>9500.11</v>
      </c>
      <c r="S175" s="702">
        <v>1775.45</v>
      </c>
      <c r="T175" s="702">
        <v>11275.56</v>
      </c>
      <c r="U175" s="702">
        <v>27475.439999999999</v>
      </c>
      <c r="V175" s="702">
        <v>27475.439999999999</v>
      </c>
      <c r="W175" s="702">
        <v>13223.62</v>
      </c>
      <c r="X175" s="703">
        <v>0</v>
      </c>
      <c r="Y175" s="703">
        <v>125</v>
      </c>
      <c r="Z175" s="703">
        <v>15</v>
      </c>
    </row>
    <row r="176" spans="1:26">
      <c r="A176" s="694" t="s">
        <v>1071</v>
      </c>
      <c r="B176" s="694" t="s">
        <v>306</v>
      </c>
      <c r="C176" s="694" t="s">
        <v>1072</v>
      </c>
      <c r="D176" s="694" t="s">
        <v>391</v>
      </c>
      <c r="E176" s="694" t="s">
        <v>377</v>
      </c>
      <c r="F176" s="694" t="s">
        <v>378</v>
      </c>
      <c r="G176" s="694" t="s">
        <v>379</v>
      </c>
      <c r="H176" s="694" t="s">
        <v>380</v>
      </c>
      <c r="I176" s="694" t="s">
        <v>381</v>
      </c>
      <c r="J176" s="694" t="s">
        <v>382</v>
      </c>
      <c r="K176" s="695" t="s">
        <v>1012</v>
      </c>
      <c r="L176" s="695" t="s">
        <v>1013</v>
      </c>
      <c r="M176" s="695" t="s">
        <v>1073</v>
      </c>
      <c r="N176" s="694" t="s">
        <v>1074</v>
      </c>
      <c r="O176" s="694" t="s">
        <v>387</v>
      </c>
      <c r="P176" s="696">
        <v>3.13</v>
      </c>
      <c r="Q176" s="694" t="s">
        <v>412</v>
      </c>
      <c r="R176" s="697">
        <v>9568.69</v>
      </c>
      <c r="S176" s="697">
        <v>1643.79</v>
      </c>
      <c r="T176" s="697">
        <v>11212.48</v>
      </c>
      <c r="U176" s="697">
        <v>22783.16</v>
      </c>
      <c r="V176" s="697">
        <v>22783.16</v>
      </c>
      <c r="W176" s="697">
        <v>13008.46</v>
      </c>
      <c r="X176" s="698">
        <v>0</v>
      </c>
      <c r="Y176" s="698">
        <v>61</v>
      </c>
      <c r="Z176" s="698">
        <v>16</v>
      </c>
    </row>
    <row r="177" spans="1:26">
      <c r="A177" s="699" t="s">
        <v>1075</v>
      </c>
      <c r="B177" s="699" t="s">
        <v>307</v>
      </c>
      <c r="C177" s="699" t="s">
        <v>1076</v>
      </c>
      <c r="D177" s="699" t="s">
        <v>391</v>
      </c>
      <c r="E177" s="699" t="s">
        <v>377</v>
      </c>
      <c r="F177" s="699" t="s">
        <v>378</v>
      </c>
      <c r="G177" s="699" t="s">
        <v>379</v>
      </c>
      <c r="H177" s="699" t="s">
        <v>380</v>
      </c>
      <c r="I177" s="699" t="s">
        <v>381</v>
      </c>
      <c r="J177" s="699" t="s">
        <v>382</v>
      </c>
      <c r="K177" s="700" t="s">
        <v>430</v>
      </c>
      <c r="L177" s="700" t="s">
        <v>518</v>
      </c>
      <c r="M177" s="700" t="s">
        <v>519</v>
      </c>
      <c r="N177" s="699" t="s">
        <v>1077</v>
      </c>
      <c r="O177" s="699" t="s">
        <v>387</v>
      </c>
      <c r="P177" s="701">
        <v>1.91</v>
      </c>
      <c r="Q177" s="699" t="s">
        <v>434</v>
      </c>
      <c r="R177" s="702">
        <v>6610.01</v>
      </c>
      <c r="S177" s="702">
        <v>4601.0200000000004</v>
      </c>
      <c r="T177" s="702">
        <v>11211.03</v>
      </c>
      <c r="U177" s="702">
        <v>22766.37</v>
      </c>
      <c r="V177" s="702">
        <v>22766.37</v>
      </c>
      <c r="W177" s="702">
        <v>12303.81</v>
      </c>
      <c r="X177" s="703">
        <v>0</v>
      </c>
      <c r="Y177" s="703">
        <v>49</v>
      </c>
      <c r="Z177" s="703">
        <v>18</v>
      </c>
    </row>
    <row r="178" spans="1:26">
      <c r="A178" s="694" t="s">
        <v>1078</v>
      </c>
      <c r="B178" s="694" t="s">
        <v>308</v>
      </c>
      <c r="C178" s="694" t="s">
        <v>1079</v>
      </c>
      <c r="D178" s="694" t="s">
        <v>376</v>
      </c>
      <c r="E178" s="694" t="s">
        <v>377</v>
      </c>
      <c r="F178" s="694" t="s">
        <v>378</v>
      </c>
      <c r="G178" s="694" t="s">
        <v>379</v>
      </c>
      <c r="H178" s="694" t="s">
        <v>380</v>
      </c>
      <c r="I178" s="694" t="s">
        <v>400</v>
      </c>
      <c r="J178" s="694" t="s">
        <v>382</v>
      </c>
      <c r="K178" s="695" t="s">
        <v>408</v>
      </c>
      <c r="L178" s="695" t="s">
        <v>1037</v>
      </c>
      <c r="M178" s="695" t="s">
        <v>519</v>
      </c>
      <c r="N178" s="694" t="s">
        <v>1080</v>
      </c>
      <c r="O178" s="694" t="s">
        <v>387</v>
      </c>
      <c r="P178" s="696">
        <v>2.15</v>
      </c>
      <c r="Q178" s="694" t="s">
        <v>434</v>
      </c>
      <c r="R178" s="697">
        <v>11111.3</v>
      </c>
      <c r="S178" s="697">
        <v>76.150000000000006</v>
      </c>
      <c r="T178" s="697">
        <v>11187.45</v>
      </c>
      <c r="U178" s="697">
        <v>23420.720000000001</v>
      </c>
      <c r="V178" s="697">
        <v>23420.720000000001</v>
      </c>
      <c r="W178" s="697">
        <v>13130.36</v>
      </c>
      <c r="X178" s="698">
        <v>0</v>
      </c>
      <c r="Y178" s="698">
        <v>203</v>
      </c>
      <c r="Z178" s="698">
        <v>14</v>
      </c>
    </row>
    <row r="179" spans="1:26">
      <c r="A179" s="699" t="s">
        <v>1081</v>
      </c>
      <c r="B179" s="699" t="s">
        <v>309</v>
      </c>
      <c r="C179" s="699" t="s">
        <v>1082</v>
      </c>
      <c r="D179" s="699" t="s">
        <v>428</v>
      </c>
      <c r="E179" s="699" t="s">
        <v>377</v>
      </c>
      <c r="F179" s="699" t="s">
        <v>378</v>
      </c>
      <c r="G179" s="699" t="s">
        <v>379</v>
      </c>
      <c r="H179" s="699" t="s">
        <v>380</v>
      </c>
      <c r="I179" s="699" t="s">
        <v>429</v>
      </c>
      <c r="J179" s="699" t="s">
        <v>382</v>
      </c>
      <c r="K179" s="700" t="s">
        <v>394</v>
      </c>
      <c r="L179" s="700" t="s">
        <v>534</v>
      </c>
      <c r="M179" s="700" t="s">
        <v>1083</v>
      </c>
      <c r="N179" s="699" t="s">
        <v>1084</v>
      </c>
      <c r="O179" s="699" t="s">
        <v>491</v>
      </c>
      <c r="P179" s="701">
        <v>0.97</v>
      </c>
      <c r="Q179" s="699" t="s">
        <v>434</v>
      </c>
      <c r="R179" s="702">
        <v>10542.79</v>
      </c>
      <c r="S179" s="702">
        <v>555.30999999999995</v>
      </c>
      <c r="T179" s="702">
        <v>11098.1</v>
      </c>
      <c r="U179" s="702">
        <v>26160.82</v>
      </c>
      <c r="V179" s="702">
        <v>26160.82</v>
      </c>
      <c r="W179" s="702">
        <v>19638.72</v>
      </c>
      <c r="X179" s="703">
        <v>1</v>
      </c>
      <c r="Y179" s="703">
        <v>22</v>
      </c>
      <c r="Z179" s="703">
        <v>4</v>
      </c>
    </row>
    <row r="180" spans="1:26">
      <c r="A180" s="694" t="s">
        <v>1085</v>
      </c>
      <c r="B180" s="694" t="s">
        <v>310</v>
      </c>
      <c r="C180" s="694" t="s">
        <v>1086</v>
      </c>
      <c r="D180" s="694" t="s">
        <v>391</v>
      </c>
      <c r="E180" s="694" t="s">
        <v>377</v>
      </c>
      <c r="F180" s="694" t="s">
        <v>378</v>
      </c>
      <c r="G180" s="694" t="s">
        <v>392</v>
      </c>
      <c r="H180" s="694" t="s">
        <v>393</v>
      </c>
      <c r="I180" s="694" t="s">
        <v>381</v>
      </c>
      <c r="J180" s="694" t="s">
        <v>401</v>
      </c>
      <c r="K180" s="695" t="s">
        <v>767</v>
      </c>
      <c r="L180" s="695" t="s">
        <v>828</v>
      </c>
      <c r="M180" s="695" t="s">
        <v>1087</v>
      </c>
      <c r="N180" s="694" t="s">
        <v>1088</v>
      </c>
      <c r="O180" s="694" t="s">
        <v>515</v>
      </c>
      <c r="P180" s="696"/>
      <c r="Q180" s="694" t="s">
        <v>46</v>
      </c>
      <c r="R180" s="697">
        <v>7510.58</v>
      </c>
      <c r="S180" s="697">
        <v>3551.45</v>
      </c>
      <c r="T180" s="697">
        <v>11062.03</v>
      </c>
      <c r="U180" s="697">
        <v>15628.63</v>
      </c>
      <c r="V180" s="697">
        <v>15628.63</v>
      </c>
      <c r="W180" s="697">
        <v>12594.23</v>
      </c>
      <c r="X180" s="698">
        <v>0</v>
      </c>
      <c r="Y180" s="698">
        <v>56</v>
      </c>
      <c r="Z180" s="698">
        <v>25</v>
      </c>
    </row>
    <row r="181" spans="1:26">
      <c r="A181" s="699" t="s">
        <v>1089</v>
      </c>
      <c r="B181" s="699" t="s">
        <v>311</v>
      </c>
      <c r="C181" s="699" t="s">
        <v>1090</v>
      </c>
      <c r="D181" s="699" t="s">
        <v>428</v>
      </c>
      <c r="E181" s="699" t="s">
        <v>377</v>
      </c>
      <c r="F181" s="699" t="s">
        <v>378</v>
      </c>
      <c r="G181" s="699" t="s">
        <v>379</v>
      </c>
      <c r="H181" s="699" t="s">
        <v>380</v>
      </c>
      <c r="I181" s="699" t="s">
        <v>400</v>
      </c>
      <c r="J181" s="699" t="s">
        <v>382</v>
      </c>
      <c r="K181" s="700" t="s">
        <v>402</v>
      </c>
      <c r="L181" s="700" t="s">
        <v>530</v>
      </c>
      <c r="M181" s="700" t="s">
        <v>1091</v>
      </c>
      <c r="N181" s="699" t="s">
        <v>1092</v>
      </c>
      <c r="O181" s="699" t="s">
        <v>491</v>
      </c>
      <c r="P181" s="701">
        <v>4.87</v>
      </c>
      <c r="Q181" s="699" t="s">
        <v>412</v>
      </c>
      <c r="R181" s="702">
        <v>10692.21</v>
      </c>
      <c r="S181" s="702">
        <v>349.36</v>
      </c>
      <c r="T181" s="702">
        <v>11041.57</v>
      </c>
      <c r="U181" s="702">
        <v>102423.88</v>
      </c>
      <c r="V181" s="702">
        <v>23476.080000000002</v>
      </c>
      <c r="W181" s="702">
        <v>13951.31</v>
      </c>
      <c r="X181" s="703">
        <v>0</v>
      </c>
      <c r="Y181" s="703">
        <v>47</v>
      </c>
      <c r="Z181" s="703">
        <v>9</v>
      </c>
    </row>
    <row r="182" spans="1:26">
      <c r="A182" s="694" t="s">
        <v>1093</v>
      </c>
      <c r="B182" s="694" t="s">
        <v>312</v>
      </c>
      <c r="C182" s="694" t="s">
        <v>1094</v>
      </c>
      <c r="D182" s="694" t="s">
        <v>376</v>
      </c>
      <c r="E182" s="694" t="s">
        <v>377</v>
      </c>
      <c r="F182" s="694" t="s">
        <v>378</v>
      </c>
      <c r="G182" s="694" t="s">
        <v>379</v>
      </c>
      <c r="H182" s="694" t="s">
        <v>380</v>
      </c>
      <c r="I182" s="694" t="s">
        <v>381</v>
      </c>
      <c r="J182" s="694" t="s">
        <v>382</v>
      </c>
      <c r="K182" s="695" t="s">
        <v>1095</v>
      </c>
      <c r="L182" s="695" t="s">
        <v>1096</v>
      </c>
      <c r="M182" s="695" t="s">
        <v>1097</v>
      </c>
      <c r="N182" s="694" t="s">
        <v>1098</v>
      </c>
      <c r="O182" s="694" t="s">
        <v>387</v>
      </c>
      <c r="P182" s="696">
        <v>4.0199999999999996</v>
      </c>
      <c r="Q182" s="694" t="s">
        <v>412</v>
      </c>
      <c r="R182" s="697">
        <v>1626.13</v>
      </c>
      <c r="S182" s="697">
        <v>9385.17</v>
      </c>
      <c r="T182" s="697">
        <v>11011.3</v>
      </c>
      <c r="U182" s="697">
        <v>23547.77</v>
      </c>
      <c r="V182" s="697">
        <v>23547.77</v>
      </c>
      <c r="W182" s="697">
        <v>11683.83</v>
      </c>
      <c r="X182" s="698">
        <v>0</v>
      </c>
      <c r="Y182" s="698">
        <v>37</v>
      </c>
      <c r="Z182" s="698">
        <v>22</v>
      </c>
    </row>
    <row r="183" spans="1:26">
      <c r="A183" s="699" t="s">
        <v>1099</v>
      </c>
      <c r="B183" s="699" t="s">
        <v>313</v>
      </c>
      <c r="C183" s="699" t="s">
        <v>1100</v>
      </c>
      <c r="D183" s="699" t="s">
        <v>391</v>
      </c>
      <c r="E183" s="699" t="s">
        <v>377</v>
      </c>
      <c r="F183" s="699" t="s">
        <v>378</v>
      </c>
      <c r="G183" s="699" t="s">
        <v>379</v>
      </c>
      <c r="H183" s="699" t="s">
        <v>380</v>
      </c>
      <c r="I183" s="699" t="s">
        <v>429</v>
      </c>
      <c r="J183" s="699" t="s">
        <v>382</v>
      </c>
      <c r="K183" s="700" t="s">
        <v>430</v>
      </c>
      <c r="L183" s="700" t="s">
        <v>547</v>
      </c>
      <c r="M183" s="700" t="s">
        <v>1101</v>
      </c>
      <c r="N183" s="699" t="s">
        <v>744</v>
      </c>
      <c r="O183" s="699" t="s">
        <v>387</v>
      </c>
      <c r="P183" s="701">
        <v>2.31</v>
      </c>
      <c r="Q183" s="699" t="s">
        <v>434</v>
      </c>
      <c r="R183" s="702">
        <v>2338.1999999999998</v>
      </c>
      <c r="S183" s="702">
        <v>8668.23</v>
      </c>
      <c r="T183" s="702">
        <v>11006.43</v>
      </c>
      <c r="U183" s="702">
        <v>18708.61</v>
      </c>
      <c r="V183" s="702">
        <v>18708.61</v>
      </c>
      <c r="W183" s="702">
        <v>13557.06</v>
      </c>
      <c r="X183" s="703">
        <v>0</v>
      </c>
      <c r="Y183" s="703">
        <v>26</v>
      </c>
      <c r="Z183" s="703">
        <v>31</v>
      </c>
    </row>
    <row r="184" spans="1:26">
      <c r="A184" s="694" t="s">
        <v>1102</v>
      </c>
      <c r="B184" s="694" t="s">
        <v>314</v>
      </c>
      <c r="C184" s="694" t="s">
        <v>1103</v>
      </c>
      <c r="D184" s="694" t="s">
        <v>376</v>
      </c>
      <c r="E184" s="694" t="s">
        <v>377</v>
      </c>
      <c r="F184" s="694" t="s">
        <v>476</v>
      </c>
      <c r="G184" s="694" t="s">
        <v>477</v>
      </c>
      <c r="H184" s="694" t="s">
        <v>380</v>
      </c>
      <c r="I184" s="694" t="s">
        <v>764</v>
      </c>
      <c r="J184" s="694" t="s">
        <v>382</v>
      </c>
      <c r="K184" s="695" t="s">
        <v>402</v>
      </c>
      <c r="L184" s="695" t="s">
        <v>530</v>
      </c>
      <c r="M184" s="695" t="s">
        <v>1091</v>
      </c>
      <c r="N184" s="694" t="s">
        <v>1104</v>
      </c>
      <c r="O184" s="694" t="s">
        <v>387</v>
      </c>
      <c r="P184" s="696">
        <v>1.39</v>
      </c>
      <c r="Q184" s="694" t="s">
        <v>434</v>
      </c>
      <c r="R184" s="697">
        <v>10456.530000000001</v>
      </c>
      <c r="S184" s="697">
        <v>527.35</v>
      </c>
      <c r="T184" s="697">
        <v>10983.88</v>
      </c>
      <c r="U184" s="697">
        <v>28421.52</v>
      </c>
      <c r="V184" s="697">
        <v>28421.52</v>
      </c>
      <c r="W184" s="697">
        <v>13244.19</v>
      </c>
      <c r="X184" s="698">
        <v>0</v>
      </c>
      <c r="Y184" s="698">
        <v>41</v>
      </c>
      <c r="Z184" s="698">
        <v>12</v>
      </c>
    </row>
    <row r="185" spans="1:26">
      <c r="A185" s="699" t="s">
        <v>1105</v>
      </c>
      <c r="B185" s="699" t="s">
        <v>315</v>
      </c>
      <c r="C185" s="699" t="s">
        <v>1106</v>
      </c>
      <c r="D185" s="699" t="s">
        <v>376</v>
      </c>
      <c r="E185" s="699" t="s">
        <v>377</v>
      </c>
      <c r="F185" s="699" t="s">
        <v>378</v>
      </c>
      <c r="G185" s="699" t="s">
        <v>392</v>
      </c>
      <c r="H185" s="699" t="s">
        <v>393</v>
      </c>
      <c r="I185" s="699" t="s">
        <v>381</v>
      </c>
      <c r="J185" s="699" t="s">
        <v>382</v>
      </c>
      <c r="K185" s="700" t="s">
        <v>383</v>
      </c>
      <c r="L185" s="700" t="s">
        <v>1107</v>
      </c>
      <c r="M185" s="700" t="s">
        <v>1108</v>
      </c>
      <c r="N185" s="699" t="s">
        <v>1109</v>
      </c>
      <c r="O185" s="699" t="s">
        <v>387</v>
      </c>
      <c r="P185" s="701">
        <v>1.48</v>
      </c>
      <c r="Q185" s="699" t="s">
        <v>434</v>
      </c>
      <c r="R185" s="702">
        <v>10740.47</v>
      </c>
      <c r="S185" s="702">
        <v>209.26</v>
      </c>
      <c r="T185" s="702">
        <v>10949.73</v>
      </c>
      <c r="U185" s="702">
        <v>28909.45</v>
      </c>
      <c r="V185" s="702">
        <v>28659.45</v>
      </c>
      <c r="W185" s="702">
        <v>12435.38</v>
      </c>
      <c r="X185" s="703">
        <v>0</v>
      </c>
      <c r="Y185" s="703">
        <v>48</v>
      </c>
      <c r="Z185" s="703">
        <v>12</v>
      </c>
    </row>
    <row r="186" spans="1:26">
      <c r="A186" s="694" t="s">
        <v>1110</v>
      </c>
      <c r="B186" s="694" t="s">
        <v>316</v>
      </c>
      <c r="C186" s="694" t="s">
        <v>1111</v>
      </c>
      <c r="D186" s="694" t="s">
        <v>391</v>
      </c>
      <c r="E186" s="694" t="s">
        <v>377</v>
      </c>
      <c r="F186" s="694" t="s">
        <v>476</v>
      </c>
      <c r="G186" s="694" t="s">
        <v>477</v>
      </c>
      <c r="H186" s="694" t="s">
        <v>380</v>
      </c>
      <c r="I186" s="694" t="s">
        <v>498</v>
      </c>
      <c r="J186" s="694" t="s">
        <v>382</v>
      </c>
      <c r="K186" s="695" t="s">
        <v>383</v>
      </c>
      <c r="L186" s="695" t="s">
        <v>1112</v>
      </c>
      <c r="M186" s="695" t="s">
        <v>1113</v>
      </c>
      <c r="N186" s="694" t="s">
        <v>1114</v>
      </c>
      <c r="O186" s="694" t="s">
        <v>387</v>
      </c>
      <c r="P186" s="696">
        <v>2.23</v>
      </c>
      <c r="Q186" s="694" t="s">
        <v>434</v>
      </c>
      <c r="R186" s="697">
        <v>9120.99</v>
      </c>
      <c r="S186" s="697">
        <v>1780.7</v>
      </c>
      <c r="T186" s="697">
        <v>10901.69</v>
      </c>
      <c r="U186" s="697">
        <v>25374.05</v>
      </c>
      <c r="V186" s="697">
        <v>20601.05</v>
      </c>
      <c r="W186" s="697">
        <v>13153.65</v>
      </c>
      <c r="X186" s="698">
        <v>0</v>
      </c>
      <c r="Y186" s="698">
        <v>29</v>
      </c>
      <c r="Z186" s="698">
        <v>32</v>
      </c>
    </row>
    <row r="187" spans="1:26">
      <c r="A187" s="699" t="s">
        <v>1115</v>
      </c>
      <c r="B187" s="699" t="s">
        <v>317</v>
      </c>
      <c r="C187" s="699" t="s">
        <v>1116</v>
      </c>
      <c r="D187" s="699" t="s">
        <v>428</v>
      </c>
      <c r="E187" s="699" t="s">
        <v>377</v>
      </c>
      <c r="F187" s="699" t="s">
        <v>378</v>
      </c>
      <c r="G187" s="699" t="s">
        <v>392</v>
      </c>
      <c r="H187" s="699" t="s">
        <v>393</v>
      </c>
      <c r="I187" s="699" t="s">
        <v>400</v>
      </c>
      <c r="J187" s="699" t="s">
        <v>382</v>
      </c>
      <c r="K187" s="700" t="s">
        <v>729</v>
      </c>
      <c r="L187" s="700" t="s">
        <v>882</v>
      </c>
      <c r="M187" s="700" t="s">
        <v>1117</v>
      </c>
      <c r="N187" s="699" t="s">
        <v>1118</v>
      </c>
      <c r="O187" s="699" t="s">
        <v>515</v>
      </c>
      <c r="P187" s="701">
        <v>0.4</v>
      </c>
      <c r="Q187" s="699" t="s">
        <v>434</v>
      </c>
      <c r="R187" s="702">
        <v>10874.66</v>
      </c>
      <c r="S187" s="702">
        <v>7.32</v>
      </c>
      <c r="T187" s="702">
        <v>10881.98</v>
      </c>
      <c r="U187" s="702">
        <v>21879.25</v>
      </c>
      <c r="V187" s="702">
        <v>21879.25</v>
      </c>
      <c r="W187" s="702">
        <v>13509.22</v>
      </c>
      <c r="X187" s="703">
        <v>0</v>
      </c>
      <c r="Y187" s="703">
        <v>14</v>
      </c>
      <c r="Z187" s="703">
        <v>3</v>
      </c>
    </row>
    <row r="188" spans="1:26">
      <c r="A188" s="694" t="s">
        <v>1119</v>
      </c>
      <c r="B188" s="694" t="s">
        <v>318</v>
      </c>
      <c r="C188" s="694" t="s">
        <v>1120</v>
      </c>
      <c r="D188" s="694" t="s">
        <v>428</v>
      </c>
      <c r="E188" s="694" t="s">
        <v>377</v>
      </c>
      <c r="F188" s="694" t="s">
        <v>378</v>
      </c>
      <c r="G188" s="694" t="s">
        <v>379</v>
      </c>
      <c r="H188" s="694" t="s">
        <v>380</v>
      </c>
      <c r="I188" s="694" t="s">
        <v>400</v>
      </c>
      <c r="J188" s="694" t="s">
        <v>382</v>
      </c>
      <c r="K188" s="695" t="s">
        <v>430</v>
      </c>
      <c r="L188" s="695" t="s">
        <v>844</v>
      </c>
      <c r="M188" s="695" t="s">
        <v>1121</v>
      </c>
      <c r="N188" s="694" t="s">
        <v>1122</v>
      </c>
      <c r="O188" s="694" t="s">
        <v>387</v>
      </c>
      <c r="P188" s="696">
        <v>0.95</v>
      </c>
      <c r="Q188" s="694" t="s">
        <v>434</v>
      </c>
      <c r="R188" s="697">
        <v>10749.86</v>
      </c>
      <c r="S188" s="697">
        <v>75.42</v>
      </c>
      <c r="T188" s="697">
        <v>10825.28</v>
      </c>
      <c r="U188" s="697">
        <v>13805.08</v>
      </c>
      <c r="V188" s="697">
        <v>13805.08</v>
      </c>
      <c r="W188" s="697">
        <v>11179.4</v>
      </c>
      <c r="X188" s="698">
        <v>0</v>
      </c>
      <c r="Y188" s="698">
        <v>185</v>
      </c>
      <c r="Z188" s="698">
        <v>8</v>
      </c>
    </row>
    <row r="189" spans="1:26">
      <c r="A189" s="699" t="s">
        <v>1123</v>
      </c>
      <c r="B189" s="699" t="s">
        <v>319</v>
      </c>
      <c r="C189" s="699" t="s">
        <v>1124</v>
      </c>
      <c r="D189" s="699" t="s">
        <v>376</v>
      </c>
      <c r="E189" s="699" t="s">
        <v>377</v>
      </c>
      <c r="F189" s="699" t="s">
        <v>476</v>
      </c>
      <c r="G189" s="699" t="s">
        <v>477</v>
      </c>
      <c r="H189" s="699" t="s">
        <v>380</v>
      </c>
      <c r="I189" s="699" t="s">
        <v>764</v>
      </c>
      <c r="J189" s="699" t="s">
        <v>382</v>
      </c>
      <c r="K189" s="700" t="s">
        <v>1012</v>
      </c>
      <c r="L189" s="700" t="s">
        <v>1125</v>
      </c>
      <c r="M189" s="700" t="s">
        <v>1126</v>
      </c>
      <c r="N189" s="699" t="s">
        <v>816</v>
      </c>
      <c r="O189" s="699" t="s">
        <v>387</v>
      </c>
      <c r="P189" s="701">
        <v>1.44</v>
      </c>
      <c r="Q189" s="699" t="s">
        <v>434</v>
      </c>
      <c r="R189" s="702">
        <v>9852.83</v>
      </c>
      <c r="S189" s="702">
        <v>955.62</v>
      </c>
      <c r="T189" s="702">
        <v>10808.45</v>
      </c>
      <c r="U189" s="702">
        <v>19828.54</v>
      </c>
      <c r="V189" s="702">
        <v>19543.54</v>
      </c>
      <c r="W189" s="702">
        <v>11592.08</v>
      </c>
      <c r="X189" s="703">
        <v>0</v>
      </c>
      <c r="Y189" s="703">
        <v>12</v>
      </c>
      <c r="Z189" s="703">
        <v>2</v>
      </c>
    </row>
    <row r="190" spans="1:26">
      <c r="A190" s="694" t="s">
        <v>1127</v>
      </c>
      <c r="B190" s="694" t="s">
        <v>320</v>
      </c>
      <c r="C190" s="694" t="s">
        <v>1128</v>
      </c>
      <c r="D190" s="694" t="s">
        <v>376</v>
      </c>
      <c r="E190" s="694" t="s">
        <v>377</v>
      </c>
      <c r="F190" s="694" t="s">
        <v>476</v>
      </c>
      <c r="G190" s="694" t="s">
        <v>477</v>
      </c>
      <c r="H190" s="694" t="s">
        <v>380</v>
      </c>
      <c r="I190" s="694" t="s">
        <v>498</v>
      </c>
      <c r="J190" s="694" t="s">
        <v>382</v>
      </c>
      <c r="K190" s="695"/>
      <c r="L190" s="695"/>
      <c r="M190" s="695"/>
      <c r="N190" s="694" t="s">
        <v>1129</v>
      </c>
      <c r="O190" s="694" t="s">
        <v>387</v>
      </c>
      <c r="P190" s="696">
        <v>3.27</v>
      </c>
      <c r="Q190" s="694" t="s">
        <v>412</v>
      </c>
      <c r="R190" s="697"/>
      <c r="S190" s="697">
        <v>10792.54</v>
      </c>
      <c r="T190" s="697">
        <v>10792.54</v>
      </c>
      <c r="U190" s="697">
        <v>13376.74</v>
      </c>
      <c r="V190" s="697">
        <v>13376.74</v>
      </c>
      <c r="W190" s="697">
        <v>10827.53</v>
      </c>
      <c r="X190" s="698"/>
      <c r="Y190" s="698"/>
      <c r="Z190" s="698">
        <v>3</v>
      </c>
    </row>
    <row r="191" spans="1:26" ht="25.5">
      <c r="A191" s="699" t="s">
        <v>1130</v>
      </c>
      <c r="B191" s="699" t="s">
        <v>321</v>
      </c>
      <c r="C191" s="699" t="s">
        <v>1131</v>
      </c>
      <c r="D191" s="699" t="s">
        <v>391</v>
      </c>
      <c r="E191" s="699" t="s">
        <v>377</v>
      </c>
      <c r="F191" s="699" t="s">
        <v>378</v>
      </c>
      <c r="G191" s="699" t="s">
        <v>379</v>
      </c>
      <c r="H191" s="699" t="s">
        <v>380</v>
      </c>
      <c r="I191" s="699" t="s">
        <v>429</v>
      </c>
      <c r="J191" s="699" t="s">
        <v>382</v>
      </c>
      <c r="K191" s="700" t="s">
        <v>499</v>
      </c>
      <c r="L191" s="700" t="s">
        <v>933</v>
      </c>
      <c r="M191" s="700" t="s">
        <v>1132</v>
      </c>
      <c r="N191" s="699" t="s">
        <v>732</v>
      </c>
      <c r="O191" s="699" t="s">
        <v>387</v>
      </c>
      <c r="P191" s="701">
        <v>1.63</v>
      </c>
      <c r="Q191" s="699" t="s">
        <v>434</v>
      </c>
      <c r="R191" s="702">
        <v>9895.93</v>
      </c>
      <c r="S191" s="702">
        <v>776.12</v>
      </c>
      <c r="T191" s="702">
        <v>10672.05</v>
      </c>
      <c r="U191" s="702">
        <v>34680.980000000003</v>
      </c>
      <c r="V191" s="702">
        <v>34625.980000000003</v>
      </c>
      <c r="W191" s="702">
        <v>16277.76</v>
      </c>
      <c r="X191" s="703">
        <v>0</v>
      </c>
      <c r="Y191" s="703">
        <v>132</v>
      </c>
      <c r="Z191" s="703">
        <v>10</v>
      </c>
    </row>
    <row r="192" spans="1:26">
      <c r="A192" s="694" t="s">
        <v>1133</v>
      </c>
      <c r="B192" s="694" t="s">
        <v>322</v>
      </c>
      <c r="C192" s="694" t="s">
        <v>1134</v>
      </c>
      <c r="D192" s="694" t="s">
        <v>428</v>
      </c>
      <c r="E192" s="694" t="s">
        <v>377</v>
      </c>
      <c r="F192" s="694" t="s">
        <v>378</v>
      </c>
      <c r="G192" s="694" t="s">
        <v>379</v>
      </c>
      <c r="H192" s="694" t="s">
        <v>380</v>
      </c>
      <c r="I192" s="694" t="s">
        <v>400</v>
      </c>
      <c r="J192" s="694" t="s">
        <v>382</v>
      </c>
      <c r="K192" s="695" t="s">
        <v>408</v>
      </c>
      <c r="L192" s="695" t="s">
        <v>711</v>
      </c>
      <c r="M192" s="695" t="s">
        <v>1135</v>
      </c>
      <c r="N192" s="694" t="s">
        <v>685</v>
      </c>
      <c r="O192" s="694" t="s">
        <v>387</v>
      </c>
      <c r="P192" s="696">
        <v>2.0299999999999998</v>
      </c>
      <c r="Q192" s="694" t="s">
        <v>434</v>
      </c>
      <c r="R192" s="697">
        <v>10470.870000000001</v>
      </c>
      <c r="S192" s="697">
        <v>199.95</v>
      </c>
      <c r="T192" s="697">
        <v>10670.82</v>
      </c>
      <c r="U192" s="697">
        <v>23582.89</v>
      </c>
      <c r="V192" s="697">
        <v>23302.89</v>
      </c>
      <c r="W192" s="697">
        <v>13086.06</v>
      </c>
      <c r="X192" s="698">
        <v>0</v>
      </c>
      <c r="Y192" s="698">
        <v>207</v>
      </c>
      <c r="Z192" s="698">
        <v>3</v>
      </c>
    </row>
    <row r="193" spans="1:26">
      <c r="A193" s="699" t="s">
        <v>1136</v>
      </c>
      <c r="B193" s="699" t="s">
        <v>323</v>
      </c>
      <c r="C193" s="699" t="s">
        <v>1137</v>
      </c>
      <c r="D193" s="699" t="s">
        <v>391</v>
      </c>
      <c r="E193" s="699" t="s">
        <v>377</v>
      </c>
      <c r="F193" s="699" t="s">
        <v>476</v>
      </c>
      <c r="G193" s="699" t="s">
        <v>477</v>
      </c>
      <c r="H193" s="699" t="s">
        <v>380</v>
      </c>
      <c r="I193" s="699" t="s">
        <v>764</v>
      </c>
      <c r="J193" s="699" t="s">
        <v>382</v>
      </c>
      <c r="K193" s="700" t="s">
        <v>499</v>
      </c>
      <c r="L193" s="700" t="s">
        <v>819</v>
      </c>
      <c r="M193" s="700" t="s">
        <v>1138</v>
      </c>
      <c r="N193" s="699" t="s">
        <v>1139</v>
      </c>
      <c r="O193" s="699" t="s">
        <v>745</v>
      </c>
      <c r="P193" s="701">
        <v>0.3</v>
      </c>
      <c r="Q193" s="699" t="s">
        <v>434</v>
      </c>
      <c r="R193" s="702">
        <v>10533.83</v>
      </c>
      <c r="S193" s="702">
        <v>5.92</v>
      </c>
      <c r="T193" s="702">
        <v>10539.75</v>
      </c>
      <c r="U193" s="702">
        <v>21821.71</v>
      </c>
      <c r="V193" s="702">
        <v>21821.71</v>
      </c>
      <c r="W193" s="702">
        <v>12633.73</v>
      </c>
      <c r="X193" s="703">
        <v>0</v>
      </c>
      <c r="Y193" s="703">
        <v>25</v>
      </c>
      <c r="Z193" s="703">
        <v>1</v>
      </c>
    </row>
    <row r="194" spans="1:26">
      <c r="A194" s="694" t="s">
        <v>1140</v>
      </c>
      <c r="B194" s="694" t="s">
        <v>324</v>
      </c>
      <c r="C194" s="694" t="s">
        <v>1141</v>
      </c>
      <c r="D194" s="694" t="s">
        <v>376</v>
      </c>
      <c r="E194" s="694" t="s">
        <v>377</v>
      </c>
      <c r="F194" s="694" t="s">
        <v>378</v>
      </c>
      <c r="G194" s="694" t="s">
        <v>379</v>
      </c>
      <c r="H194" s="694" t="s">
        <v>380</v>
      </c>
      <c r="I194" s="694" t="s">
        <v>400</v>
      </c>
      <c r="J194" s="694" t="s">
        <v>401</v>
      </c>
      <c r="K194" s="695" t="s">
        <v>408</v>
      </c>
      <c r="L194" s="695" t="s">
        <v>409</v>
      </c>
      <c r="M194" s="695" t="s">
        <v>410</v>
      </c>
      <c r="N194" s="694" t="s">
        <v>1092</v>
      </c>
      <c r="O194" s="694" t="s">
        <v>425</v>
      </c>
      <c r="P194" s="696"/>
      <c r="Q194" s="694" t="s">
        <v>46</v>
      </c>
      <c r="R194" s="697">
        <v>10207.34</v>
      </c>
      <c r="S194" s="697">
        <v>320.37</v>
      </c>
      <c r="T194" s="697">
        <v>10527.71</v>
      </c>
      <c r="U194" s="697">
        <v>24388.76</v>
      </c>
      <c r="V194" s="697">
        <v>21278.76</v>
      </c>
      <c r="W194" s="697">
        <v>11760.48</v>
      </c>
      <c r="X194" s="698">
        <v>0</v>
      </c>
      <c r="Y194" s="698">
        <v>190</v>
      </c>
      <c r="Z194" s="698">
        <v>12</v>
      </c>
    </row>
    <row r="195" spans="1:26">
      <c r="A195" s="699" t="s">
        <v>1142</v>
      </c>
      <c r="B195" s="699" t="s">
        <v>325</v>
      </c>
      <c r="C195" s="699" t="s">
        <v>1143</v>
      </c>
      <c r="D195" s="699" t="s">
        <v>391</v>
      </c>
      <c r="E195" s="699" t="s">
        <v>377</v>
      </c>
      <c r="F195" s="699" t="s">
        <v>378</v>
      </c>
      <c r="G195" s="699" t="s">
        <v>379</v>
      </c>
      <c r="H195" s="699" t="s">
        <v>380</v>
      </c>
      <c r="I195" s="699" t="s">
        <v>381</v>
      </c>
      <c r="J195" s="699" t="s">
        <v>401</v>
      </c>
      <c r="K195" s="700" t="s">
        <v>402</v>
      </c>
      <c r="L195" s="700" t="s">
        <v>530</v>
      </c>
      <c r="M195" s="700" t="s">
        <v>1144</v>
      </c>
      <c r="N195" s="699" t="s">
        <v>1088</v>
      </c>
      <c r="O195" s="699" t="s">
        <v>807</v>
      </c>
      <c r="P195" s="701"/>
      <c r="Q195" s="699" t="s">
        <v>46</v>
      </c>
      <c r="R195" s="702">
        <v>248.5</v>
      </c>
      <c r="S195" s="702">
        <v>10265.15</v>
      </c>
      <c r="T195" s="702">
        <v>10513.65</v>
      </c>
      <c r="U195" s="702">
        <v>13979.29</v>
      </c>
      <c r="V195" s="702">
        <v>13979.29</v>
      </c>
      <c r="W195" s="702">
        <v>10952.1</v>
      </c>
      <c r="X195" s="703">
        <v>0</v>
      </c>
      <c r="Y195" s="703">
        <v>1</v>
      </c>
      <c r="Z195" s="703">
        <v>16</v>
      </c>
    </row>
    <row r="196" spans="1:26">
      <c r="A196" s="694" t="s">
        <v>1145</v>
      </c>
      <c r="B196" s="694" t="s">
        <v>326</v>
      </c>
      <c r="C196" s="694" t="s">
        <v>1146</v>
      </c>
      <c r="D196" s="694" t="s">
        <v>391</v>
      </c>
      <c r="E196" s="694" t="s">
        <v>377</v>
      </c>
      <c r="F196" s="694" t="s">
        <v>378</v>
      </c>
      <c r="G196" s="694" t="s">
        <v>379</v>
      </c>
      <c r="H196" s="694" t="s">
        <v>380</v>
      </c>
      <c r="I196" s="694" t="s">
        <v>381</v>
      </c>
      <c r="J196" s="694" t="s">
        <v>382</v>
      </c>
      <c r="K196" s="695" t="s">
        <v>430</v>
      </c>
      <c r="L196" s="695" t="s">
        <v>431</v>
      </c>
      <c r="M196" s="695" t="s">
        <v>432</v>
      </c>
      <c r="N196" s="694" t="s">
        <v>1147</v>
      </c>
      <c r="O196" s="694" t="s">
        <v>387</v>
      </c>
      <c r="P196" s="696">
        <v>3.03</v>
      </c>
      <c r="Q196" s="694" t="s">
        <v>412</v>
      </c>
      <c r="R196" s="697">
        <v>6667.78</v>
      </c>
      <c r="S196" s="697">
        <v>3829.39</v>
      </c>
      <c r="T196" s="697">
        <v>10497.17</v>
      </c>
      <c r="U196" s="697">
        <v>24012.04</v>
      </c>
      <c r="V196" s="697">
        <v>24012.04</v>
      </c>
      <c r="W196" s="697">
        <v>11809.27</v>
      </c>
      <c r="X196" s="698">
        <v>0</v>
      </c>
      <c r="Y196" s="698">
        <v>55</v>
      </c>
      <c r="Z196" s="698">
        <v>47</v>
      </c>
    </row>
    <row r="197" spans="1:26" ht="25.5">
      <c r="A197" s="699" t="s">
        <v>1148</v>
      </c>
      <c r="B197" s="699" t="s">
        <v>327</v>
      </c>
      <c r="C197" s="699" t="s">
        <v>1149</v>
      </c>
      <c r="D197" s="699" t="s">
        <v>428</v>
      </c>
      <c r="E197" s="699" t="s">
        <v>377</v>
      </c>
      <c r="F197" s="699" t="s">
        <v>378</v>
      </c>
      <c r="G197" s="699" t="s">
        <v>392</v>
      </c>
      <c r="H197" s="699" t="s">
        <v>393</v>
      </c>
      <c r="I197" s="699" t="s">
        <v>381</v>
      </c>
      <c r="J197" s="699" t="s">
        <v>382</v>
      </c>
      <c r="K197" s="700" t="s">
        <v>383</v>
      </c>
      <c r="L197" s="700" t="s">
        <v>384</v>
      </c>
      <c r="M197" s="700" t="s">
        <v>1150</v>
      </c>
      <c r="N197" s="699" t="s">
        <v>1151</v>
      </c>
      <c r="O197" s="699" t="s">
        <v>491</v>
      </c>
      <c r="P197" s="701">
        <v>0.28999999999999998</v>
      </c>
      <c r="Q197" s="699" t="s">
        <v>434</v>
      </c>
      <c r="R197" s="702">
        <v>10429.459999999999</v>
      </c>
      <c r="S197" s="702">
        <v>17.649999999999999</v>
      </c>
      <c r="T197" s="702">
        <v>10447.11</v>
      </c>
      <c r="U197" s="702">
        <v>12235.08</v>
      </c>
      <c r="V197" s="702">
        <v>12235.08</v>
      </c>
      <c r="W197" s="702">
        <v>11699.59</v>
      </c>
      <c r="X197" s="703">
        <v>0</v>
      </c>
      <c r="Y197" s="703">
        <v>12</v>
      </c>
      <c r="Z197" s="703">
        <v>2</v>
      </c>
    </row>
    <row r="198" spans="1:26">
      <c r="A198" s="694" t="s">
        <v>1152</v>
      </c>
      <c r="B198" s="694" t="s">
        <v>328</v>
      </c>
      <c r="C198" s="694" t="s">
        <v>1153</v>
      </c>
      <c r="D198" s="694" t="s">
        <v>391</v>
      </c>
      <c r="E198" s="694" t="s">
        <v>377</v>
      </c>
      <c r="F198" s="694" t="s">
        <v>378</v>
      </c>
      <c r="G198" s="694" t="s">
        <v>379</v>
      </c>
      <c r="H198" s="694" t="s">
        <v>380</v>
      </c>
      <c r="I198" s="694" t="s">
        <v>381</v>
      </c>
      <c r="J198" s="694" t="s">
        <v>382</v>
      </c>
      <c r="K198" s="695" t="s">
        <v>767</v>
      </c>
      <c r="L198" s="695" t="s">
        <v>711</v>
      </c>
      <c r="M198" s="695" t="s">
        <v>1154</v>
      </c>
      <c r="N198" s="694" t="s">
        <v>1155</v>
      </c>
      <c r="O198" s="694" t="s">
        <v>387</v>
      </c>
      <c r="P198" s="696"/>
      <c r="Q198" s="694" t="s">
        <v>46</v>
      </c>
      <c r="R198" s="697">
        <v>10150.700000000001</v>
      </c>
      <c r="S198" s="697">
        <v>295.42</v>
      </c>
      <c r="T198" s="697">
        <v>10446.120000000001</v>
      </c>
      <c r="U198" s="697">
        <v>130026.32</v>
      </c>
      <c r="V198" s="697">
        <v>115616.32000000001</v>
      </c>
      <c r="W198" s="697">
        <v>51085.67</v>
      </c>
      <c r="X198" s="698">
        <v>1</v>
      </c>
      <c r="Y198" s="698">
        <v>92</v>
      </c>
      <c r="Z198" s="698">
        <v>18</v>
      </c>
    </row>
    <row r="199" spans="1:26">
      <c r="A199" s="699" t="s">
        <v>1156</v>
      </c>
      <c r="B199" s="699" t="s">
        <v>329</v>
      </c>
      <c r="C199" s="699" t="s">
        <v>1157</v>
      </c>
      <c r="D199" s="699" t="s">
        <v>376</v>
      </c>
      <c r="E199" s="699" t="s">
        <v>377</v>
      </c>
      <c r="F199" s="699" t="s">
        <v>378</v>
      </c>
      <c r="G199" s="699" t="s">
        <v>379</v>
      </c>
      <c r="H199" s="699" t="s">
        <v>380</v>
      </c>
      <c r="I199" s="699" t="s">
        <v>381</v>
      </c>
      <c r="J199" s="699" t="s">
        <v>382</v>
      </c>
      <c r="K199" s="700" t="s">
        <v>408</v>
      </c>
      <c r="L199" s="700" t="s">
        <v>518</v>
      </c>
      <c r="M199" s="700" t="s">
        <v>519</v>
      </c>
      <c r="N199" s="699" t="s">
        <v>506</v>
      </c>
      <c r="O199" s="699" t="s">
        <v>387</v>
      </c>
      <c r="P199" s="701">
        <v>2.64</v>
      </c>
      <c r="Q199" s="699" t="s">
        <v>412</v>
      </c>
      <c r="R199" s="702">
        <v>9806.24</v>
      </c>
      <c r="S199" s="702">
        <v>617.89</v>
      </c>
      <c r="T199" s="702">
        <v>10424.129999999999</v>
      </c>
      <c r="U199" s="702">
        <v>24817.21</v>
      </c>
      <c r="V199" s="702">
        <v>24817.21</v>
      </c>
      <c r="W199" s="702">
        <v>13110.34</v>
      </c>
      <c r="X199" s="703">
        <v>0</v>
      </c>
      <c r="Y199" s="703">
        <v>142</v>
      </c>
      <c r="Z199" s="703">
        <v>18</v>
      </c>
    </row>
    <row r="200" spans="1:26">
      <c r="A200" s="694" t="s">
        <v>1158</v>
      </c>
      <c r="B200" s="694" t="s">
        <v>330</v>
      </c>
      <c r="C200" s="694" t="s">
        <v>1159</v>
      </c>
      <c r="D200" s="694" t="s">
        <v>428</v>
      </c>
      <c r="E200" s="694" t="s">
        <v>377</v>
      </c>
      <c r="F200" s="694" t="s">
        <v>378</v>
      </c>
      <c r="G200" s="694" t="s">
        <v>392</v>
      </c>
      <c r="H200" s="694" t="s">
        <v>393</v>
      </c>
      <c r="I200" s="694" t="s">
        <v>381</v>
      </c>
      <c r="J200" s="694" t="s">
        <v>382</v>
      </c>
      <c r="K200" s="695" t="s">
        <v>402</v>
      </c>
      <c r="L200" s="695" t="s">
        <v>669</v>
      </c>
      <c r="M200" s="695" t="s">
        <v>1160</v>
      </c>
      <c r="N200" s="694" t="s">
        <v>1161</v>
      </c>
      <c r="O200" s="694" t="s">
        <v>387</v>
      </c>
      <c r="P200" s="696">
        <v>1.51</v>
      </c>
      <c r="Q200" s="694" t="s">
        <v>434</v>
      </c>
      <c r="R200" s="697">
        <v>10072.85</v>
      </c>
      <c r="S200" s="697">
        <v>342.74</v>
      </c>
      <c r="T200" s="697">
        <v>10415.59</v>
      </c>
      <c r="U200" s="697">
        <v>23225.71</v>
      </c>
      <c r="V200" s="697">
        <v>23225.71</v>
      </c>
      <c r="W200" s="697">
        <v>13950.26</v>
      </c>
      <c r="X200" s="698">
        <v>0</v>
      </c>
      <c r="Y200" s="698">
        <v>34</v>
      </c>
      <c r="Z200" s="698">
        <v>16</v>
      </c>
    </row>
    <row r="201" spans="1:26">
      <c r="A201" s="699" t="s">
        <v>1162</v>
      </c>
      <c r="B201" s="699" t="s">
        <v>331</v>
      </c>
      <c r="C201" s="699" t="s">
        <v>1163</v>
      </c>
      <c r="D201" s="699" t="s">
        <v>428</v>
      </c>
      <c r="E201" s="699" t="s">
        <v>377</v>
      </c>
      <c r="F201" s="699" t="s">
        <v>476</v>
      </c>
      <c r="G201" s="699" t="s">
        <v>477</v>
      </c>
      <c r="H201" s="699" t="s">
        <v>673</v>
      </c>
      <c r="I201" s="699" t="s">
        <v>498</v>
      </c>
      <c r="J201" s="699" t="s">
        <v>401</v>
      </c>
      <c r="K201" s="700" t="s">
        <v>585</v>
      </c>
      <c r="L201" s="700" t="s">
        <v>457</v>
      </c>
      <c r="M201" s="700" t="s">
        <v>994</v>
      </c>
      <c r="N201" s="699" t="s">
        <v>1164</v>
      </c>
      <c r="O201" s="699" t="s">
        <v>387</v>
      </c>
      <c r="P201" s="701"/>
      <c r="Q201" s="699" t="s">
        <v>46</v>
      </c>
      <c r="R201" s="702">
        <v>8490.1</v>
      </c>
      <c r="S201" s="702">
        <v>1701.53</v>
      </c>
      <c r="T201" s="702">
        <v>10191.629999999999</v>
      </c>
      <c r="U201" s="702">
        <v>19638.25</v>
      </c>
      <c r="V201" s="702">
        <v>19638.25</v>
      </c>
      <c r="W201" s="702">
        <v>11361.68</v>
      </c>
      <c r="X201" s="703">
        <v>0</v>
      </c>
      <c r="Y201" s="703">
        <v>80</v>
      </c>
      <c r="Z201" s="703">
        <v>21</v>
      </c>
    </row>
    <row r="202" spans="1:26">
      <c r="A202" s="694" t="s">
        <v>1165</v>
      </c>
      <c r="B202" s="694" t="s">
        <v>332</v>
      </c>
      <c r="C202" s="694" t="s">
        <v>1166</v>
      </c>
      <c r="D202" s="694" t="s">
        <v>428</v>
      </c>
      <c r="E202" s="694" t="s">
        <v>377</v>
      </c>
      <c r="F202" s="694" t="s">
        <v>476</v>
      </c>
      <c r="G202" s="694" t="s">
        <v>477</v>
      </c>
      <c r="H202" s="694" t="s">
        <v>380</v>
      </c>
      <c r="I202" s="694" t="s">
        <v>764</v>
      </c>
      <c r="J202" s="694" t="s">
        <v>382</v>
      </c>
      <c r="K202" s="695" t="s">
        <v>499</v>
      </c>
      <c r="L202" s="695" t="s">
        <v>693</v>
      </c>
      <c r="M202" s="695" t="s">
        <v>777</v>
      </c>
      <c r="N202" s="694" t="s">
        <v>1167</v>
      </c>
      <c r="O202" s="694" t="s">
        <v>491</v>
      </c>
      <c r="P202" s="696">
        <v>0.66</v>
      </c>
      <c r="Q202" s="694" t="s">
        <v>434</v>
      </c>
      <c r="R202" s="697">
        <v>9642.3700000000008</v>
      </c>
      <c r="S202" s="697">
        <v>415.27</v>
      </c>
      <c r="T202" s="697">
        <v>10057.64</v>
      </c>
      <c r="U202" s="697">
        <v>48235.34</v>
      </c>
      <c r="V202" s="697">
        <v>34762.01</v>
      </c>
      <c r="W202" s="697">
        <v>21223.59</v>
      </c>
      <c r="X202" s="698">
        <v>0</v>
      </c>
      <c r="Y202" s="698">
        <v>40</v>
      </c>
      <c r="Z202" s="698">
        <v>7</v>
      </c>
    </row>
    <row r="203" spans="1:26">
      <c r="A203" s="699" t="s">
        <v>1168</v>
      </c>
      <c r="B203" s="699" t="s">
        <v>333</v>
      </c>
      <c r="C203" s="699" t="s">
        <v>1169</v>
      </c>
      <c r="D203" s="699" t="s">
        <v>376</v>
      </c>
      <c r="E203" s="699" t="s">
        <v>377</v>
      </c>
      <c r="F203" s="699" t="s">
        <v>378</v>
      </c>
      <c r="G203" s="699" t="s">
        <v>379</v>
      </c>
      <c r="H203" s="699" t="s">
        <v>380</v>
      </c>
      <c r="I203" s="699" t="s">
        <v>381</v>
      </c>
      <c r="J203" s="699" t="s">
        <v>382</v>
      </c>
      <c r="K203" s="700" t="s">
        <v>430</v>
      </c>
      <c r="L203" s="700" t="s">
        <v>518</v>
      </c>
      <c r="M203" s="700" t="s">
        <v>519</v>
      </c>
      <c r="N203" s="699" t="s">
        <v>1170</v>
      </c>
      <c r="O203" s="699" t="s">
        <v>387</v>
      </c>
      <c r="P203" s="701">
        <v>1.92</v>
      </c>
      <c r="Q203" s="699" t="s">
        <v>434</v>
      </c>
      <c r="R203" s="702">
        <v>9429.77</v>
      </c>
      <c r="S203" s="702">
        <v>605.33000000000004</v>
      </c>
      <c r="T203" s="702">
        <v>10035.1</v>
      </c>
      <c r="U203" s="702">
        <v>27940.77</v>
      </c>
      <c r="V203" s="702">
        <v>27140.77</v>
      </c>
      <c r="W203" s="702">
        <v>11798.18</v>
      </c>
      <c r="X203" s="703">
        <v>0</v>
      </c>
      <c r="Y203" s="703">
        <v>143</v>
      </c>
      <c r="Z203" s="703">
        <v>24</v>
      </c>
    </row>
    <row r="204" spans="1:26">
      <c r="A204" s="694" t="s">
        <v>1171</v>
      </c>
      <c r="B204" s="694" t="s">
        <v>334</v>
      </c>
      <c r="C204" s="694" t="s">
        <v>1172</v>
      </c>
      <c r="D204" s="694" t="s">
        <v>376</v>
      </c>
      <c r="E204" s="694" t="s">
        <v>377</v>
      </c>
      <c r="F204" s="694" t="s">
        <v>476</v>
      </c>
      <c r="G204" s="694" t="s">
        <v>477</v>
      </c>
      <c r="H204" s="694" t="s">
        <v>380</v>
      </c>
      <c r="I204" s="694" t="s">
        <v>498</v>
      </c>
      <c r="J204" s="694" t="s">
        <v>382</v>
      </c>
      <c r="K204" s="695" t="s">
        <v>430</v>
      </c>
      <c r="L204" s="695" t="s">
        <v>547</v>
      </c>
      <c r="M204" s="695" t="s">
        <v>863</v>
      </c>
      <c r="N204" s="694" t="s">
        <v>569</v>
      </c>
      <c r="O204" s="694" t="s">
        <v>387</v>
      </c>
      <c r="P204" s="696">
        <v>2.25</v>
      </c>
      <c r="Q204" s="694" t="s">
        <v>434</v>
      </c>
      <c r="R204" s="697">
        <v>9672.6200000000008</v>
      </c>
      <c r="S204" s="697">
        <v>351.51</v>
      </c>
      <c r="T204" s="697">
        <v>10024.129999999999</v>
      </c>
      <c r="U204" s="697">
        <v>20649.8</v>
      </c>
      <c r="V204" s="697">
        <v>20649.8</v>
      </c>
      <c r="W204" s="697">
        <v>12054.18</v>
      </c>
      <c r="X204" s="698">
        <v>0</v>
      </c>
      <c r="Y204" s="698">
        <v>62</v>
      </c>
      <c r="Z204" s="698">
        <v>20</v>
      </c>
    </row>
    <row r="205" spans="1:26">
      <c r="A205" s="699" t="s">
        <v>1173</v>
      </c>
      <c r="B205" s="699" t="s">
        <v>335</v>
      </c>
      <c r="C205" s="699" t="s">
        <v>1174</v>
      </c>
      <c r="D205" s="699" t="s">
        <v>428</v>
      </c>
      <c r="E205" s="699" t="s">
        <v>377</v>
      </c>
      <c r="F205" s="699" t="s">
        <v>378</v>
      </c>
      <c r="G205" s="699" t="s">
        <v>379</v>
      </c>
      <c r="H205" s="699" t="s">
        <v>380</v>
      </c>
      <c r="I205" s="699" t="s">
        <v>381</v>
      </c>
      <c r="J205" s="699" t="s">
        <v>382</v>
      </c>
      <c r="K205" s="700" t="s">
        <v>430</v>
      </c>
      <c r="L205" s="700" t="s">
        <v>403</v>
      </c>
      <c r="M205" s="700" t="s">
        <v>1175</v>
      </c>
      <c r="N205" s="699" t="s">
        <v>1176</v>
      </c>
      <c r="O205" s="699" t="s">
        <v>387</v>
      </c>
      <c r="P205" s="701">
        <v>1.58</v>
      </c>
      <c r="Q205" s="699" t="s">
        <v>434</v>
      </c>
      <c r="R205" s="702">
        <v>8931.2800000000007</v>
      </c>
      <c r="S205" s="702">
        <v>1071.0999999999999</v>
      </c>
      <c r="T205" s="702">
        <v>10002.379999999999</v>
      </c>
      <c r="U205" s="702">
        <v>14846.5</v>
      </c>
      <c r="V205" s="702">
        <v>14646.5</v>
      </c>
      <c r="W205" s="702">
        <v>12497.41</v>
      </c>
      <c r="X205" s="703">
        <v>0</v>
      </c>
      <c r="Y205" s="703">
        <v>75</v>
      </c>
      <c r="Z205" s="703">
        <v>13</v>
      </c>
    </row>
    <row r="206" spans="1:26">
      <c r="A206" s="704" t="s">
        <v>1177</v>
      </c>
      <c r="B206" s="704" t="s">
        <v>713</v>
      </c>
      <c r="C206" s="704" t="s">
        <v>713</v>
      </c>
      <c r="D206" s="704" t="s">
        <v>713</v>
      </c>
      <c r="E206" s="704" t="s">
        <v>713</v>
      </c>
      <c r="F206" s="704" t="s">
        <v>713</v>
      </c>
      <c r="G206" s="704" t="s">
        <v>713</v>
      </c>
      <c r="H206" s="704" t="s">
        <v>713</v>
      </c>
      <c r="I206" s="704" t="s">
        <v>713</v>
      </c>
      <c r="J206" s="704" t="s">
        <v>713</v>
      </c>
      <c r="K206" s="705" t="s">
        <v>713</v>
      </c>
      <c r="L206" s="705" t="s">
        <v>713</v>
      </c>
      <c r="M206" s="705" t="s">
        <v>713</v>
      </c>
      <c r="N206" s="704" t="s">
        <v>713</v>
      </c>
      <c r="O206" s="704" t="s">
        <v>713</v>
      </c>
      <c r="P206" s="704" t="s">
        <v>1178</v>
      </c>
      <c r="Q206" s="704" t="s">
        <v>713</v>
      </c>
      <c r="R206" s="704" t="s">
        <v>1179</v>
      </c>
      <c r="S206" s="704" t="s">
        <v>1180</v>
      </c>
      <c r="T206" s="704" t="s">
        <v>1181</v>
      </c>
      <c r="U206" s="704" t="s">
        <v>1182</v>
      </c>
      <c r="V206" s="704" t="s">
        <v>1183</v>
      </c>
      <c r="W206" s="704" t="s">
        <v>1184</v>
      </c>
      <c r="X206" s="704" t="s">
        <v>1185</v>
      </c>
      <c r="Y206" s="704" t="s">
        <v>1186</v>
      </c>
      <c r="Z206" s="704" t="s">
        <v>1187</v>
      </c>
    </row>
    <row r="207" spans="1:26">
      <c r="A207" s="704" t="s">
        <v>1188</v>
      </c>
      <c r="B207" s="704" t="s">
        <v>713</v>
      </c>
      <c r="C207" s="704" t="s">
        <v>713</v>
      </c>
      <c r="D207" s="704" t="s">
        <v>713</v>
      </c>
      <c r="E207" s="704" t="s">
        <v>713</v>
      </c>
      <c r="F207" s="704" t="s">
        <v>713</v>
      </c>
      <c r="G207" s="704" t="s">
        <v>713</v>
      </c>
      <c r="H207" s="704" t="s">
        <v>713</v>
      </c>
      <c r="I207" s="704" t="s">
        <v>713</v>
      </c>
      <c r="J207" s="704" t="s">
        <v>713</v>
      </c>
      <c r="K207" s="705" t="s">
        <v>713</v>
      </c>
      <c r="L207" s="705" t="s">
        <v>713</v>
      </c>
      <c r="M207" s="705" t="s">
        <v>713</v>
      </c>
      <c r="N207" s="704" t="s">
        <v>713</v>
      </c>
      <c r="O207" s="704" t="s">
        <v>713</v>
      </c>
      <c r="P207" s="704" t="s">
        <v>1178</v>
      </c>
      <c r="Q207" s="704" t="s">
        <v>713</v>
      </c>
      <c r="R207" s="704" t="s">
        <v>1179</v>
      </c>
      <c r="S207" s="704" t="s">
        <v>1180</v>
      </c>
      <c r="T207" s="704" t="s">
        <v>1181</v>
      </c>
      <c r="U207" s="704" t="s">
        <v>1182</v>
      </c>
      <c r="V207" s="704" t="s">
        <v>1183</v>
      </c>
      <c r="W207" s="704" t="s">
        <v>1184</v>
      </c>
      <c r="X207" s="704" t="s">
        <v>1185</v>
      </c>
      <c r="Y207" s="704" t="s">
        <v>1186</v>
      </c>
      <c r="Z207" s="704" t="s">
        <v>1187</v>
      </c>
    </row>
  </sheetData>
  <mergeCells count="3">
    <mergeCell ref="B9:Z9"/>
    <mergeCell ref="B6:Z6"/>
    <mergeCell ref="B7:Z7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317E9-4C12-4BF9-9E64-DB6A50176AEA}">
  <sheetPr>
    <tabColor theme="3" tint="-0.249977111117893"/>
    <pageSetUpPr fitToPage="1"/>
  </sheetPr>
  <dimension ref="A1:BB58"/>
  <sheetViews>
    <sheetView showGridLines="0" zoomScale="90" zoomScaleNormal="90" zoomScaleSheetLayoutView="85" workbookViewId="0">
      <selection sqref="A1:L1"/>
    </sheetView>
  </sheetViews>
  <sheetFormatPr defaultColWidth="9.33203125" defaultRowHeight="12.75"/>
  <cols>
    <col min="1" max="1" width="21.77734375" style="125" customWidth="1"/>
    <col min="2" max="12" width="14.109375" style="125" customWidth="1"/>
    <col min="13" max="15" width="16.109375" style="125" customWidth="1"/>
    <col min="16" max="16" width="12.6640625" style="125" customWidth="1"/>
    <col min="17" max="17" width="12.33203125" style="125" customWidth="1"/>
    <col min="18" max="27" width="12.6640625" style="125" customWidth="1"/>
    <col min="28" max="16384" width="9.33203125" style="125"/>
  </cols>
  <sheetData>
    <row r="1" spans="1:44" ht="25.35" customHeight="1">
      <c r="A1" s="1153" t="s">
        <v>1189</v>
      </c>
      <c r="B1" s="1153"/>
      <c r="C1" s="1153"/>
      <c r="D1" s="1153"/>
      <c r="E1" s="1153"/>
      <c r="F1" s="1153"/>
      <c r="G1" s="1153"/>
      <c r="H1" s="1153"/>
      <c r="I1" s="1153"/>
      <c r="J1" s="1153"/>
      <c r="K1" s="1153"/>
      <c r="L1" s="1153"/>
      <c r="P1" s="126"/>
      <c r="Q1" s="126"/>
      <c r="R1" s="127" t="s">
        <v>61</v>
      </c>
      <c r="S1" s="126"/>
      <c r="T1" s="126"/>
      <c r="U1" s="126"/>
      <c r="V1" s="126"/>
      <c r="W1" s="126"/>
      <c r="X1" s="126"/>
      <c r="Y1" s="126"/>
      <c r="Z1" s="126"/>
      <c r="AA1" s="126"/>
    </row>
    <row r="2" spans="1:44" s="128" customFormat="1" ht="14.25" customHeight="1">
      <c r="A2" s="1154" t="s">
        <v>1190</v>
      </c>
      <c r="B2" s="1154"/>
      <c r="C2" s="1154"/>
      <c r="D2" s="1154"/>
      <c r="E2" s="1154"/>
      <c r="F2" s="1154"/>
      <c r="G2" s="1154"/>
      <c r="H2" s="1154"/>
      <c r="I2" s="1154"/>
      <c r="J2" s="1154"/>
      <c r="K2" s="1154"/>
      <c r="L2" s="1154"/>
      <c r="P2" s="129"/>
      <c r="Q2" s="129"/>
      <c r="R2" s="127">
        <f>COUNT(B19:B30)</f>
        <v>5</v>
      </c>
      <c r="S2" s="129"/>
      <c r="T2" s="129"/>
      <c r="U2" s="129"/>
      <c r="V2" s="129"/>
      <c r="W2" s="129"/>
      <c r="X2" s="129"/>
      <c r="Y2" s="129"/>
      <c r="Z2" s="129"/>
      <c r="AA2" s="129"/>
    </row>
    <row r="3" spans="1:44" s="128" customFormat="1" ht="14.25" customHeight="1">
      <c r="A3" s="1154" t="s">
        <v>1191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4"/>
      <c r="L3" s="1154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</row>
    <row r="4" spans="1:44" s="128" customFormat="1" ht="33" customHeigh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1"/>
      <c r="N4" s="131"/>
      <c r="O4" s="131"/>
      <c r="P4" s="132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</row>
    <row r="5" spans="1:44" ht="15.75" customHeight="1" thickBot="1">
      <c r="A5" s="133"/>
      <c r="B5" s="134" t="s">
        <v>1192</v>
      </c>
      <c r="C5" s="135" t="s">
        <v>1193</v>
      </c>
      <c r="D5" s="135" t="s">
        <v>1194</v>
      </c>
      <c r="E5" s="135" t="s">
        <v>1195</v>
      </c>
      <c r="F5" s="135" t="s">
        <v>1196</v>
      </c>
      <c r="G5" s="135" t="s">
        <v>1197</v>
      </c>
      <c r="H5" s="135" t="s">
        <v>1198</v>
      </c>
      <c r="I5" s="135" t="s">
        <v>1199</v>
      </c>
      <c r="J5" s="135" t="s">
        <v>1200</v>
      </c>
      <c r="K5" s="135" t="s">
        <v>1201</v>
      </c>
      <c r="L5" s="135" t="s">
        <v>1202</v>
      </c>
      <c r="M5" s="136"/>
      <c r="N5" s="136"/>
      <c r="O5" s="136"/>
      <c r="P5" s="137"/>
      <c r="Q5" s="126"/>
      <c r="R5" s="138"/>
      <c r="S5" s="138"/>
      <c r="T5" s="126"/>
      <c r="U5" s="126"/>
      <c r="V5" s="126"/>
      <c r="W5" s="126"/>
      <c r="X5" s="126"/>
      <c r="Y5" s="126"/>
      <c r="Z5" s="126"/>
      <c r="AA5" s="126"/>
    </row>
    <row r="6" spans="1:44" s="154" customFormat="1" ht="56.85" customHeight="1" thickBot="1">
      <c r="A6" s="139" t="s">
        <v>1203</v>
      </c>
      <c r="B6" s="140" t="s">
        <v>1204</v>
      </c>
      <c r="C6" s="141" t="s">
        <v>1205</v>
      </c>
      <c r="D6" s="142" t="s">
        <v>1206</v>
      </c>
      <c r="E6" s="140" t="s">
        <v>1207</v>
      </c>
      <c r="F6" s="143" t="s">
        <v>1208</v>
      </c>
      <c r="G6" s="140" t="s">
        <v>1209</v>
      </c>
      <c r="H6" s="140" t="s">
        <v>1210</v>
      </c>
      <c r="I6" s="140" t="s">
        <v>1211</v>
      </c>
      <c r="J6" s="141" t="s">
        <v>1212</v>
      </c>
      <c r="K6" s="144" t="s">
        <v>1213</v>
      </c>
      <c r="L6" s="145" t="s">
        <v>1214</v>
      </c>
      <c r="M6" s="146"/>
      <c r="N6" s="532" t="s">
        <v>1215</v>
      </c>
      <c r="O6" s="532" t="s">
        <v>1216</v>
      </c>
      <c r="P6" s="147"/>
      <c r="Q6" s="148"/>
      <c r="R6" s="149" t="str">
        <f t="shared" ref="R6:Z7" si="0">B6</f>
        <v>Number of Enrolled Employees</v>
      </c>
      <c r="S6" s="150" t="str">
        <f t="shared" si="0"/>
        <v>Total Funding</v>
      </c>
      <c r="T6" s="151" t="str">
        <f t="shared" si="0"/>
        <v>Gross Medical Paid Claims</v>
      </c>
      <c r="U6" s="150" t="str">
        <f t="shared" si="0"/>
        <v>Claims in Excess of $275,000</v>
      </c>
      <c r="V6" s="152" t="str">
        <f t="shared" si="0"/>
        <v>Net Medical 
Paid Claims</v>
      </c>
      <c r="W6" s="150" t="str">
        <f t="shared" si="0"/>
        <v>Rx
Paid Claims</v>
      </c>
      <c r="X6" s="150" t="str">
        <f t="shared" si="0"/>
        <v>Total Net
Paid Claims</v>
      </c>
      <c r="Y6" s="152" t="str">
        <f t="shared" si="0"/>
        <v>Fixed
Expenses</v>
      </c>
      <c r="Z6" s="151" t="str">
        <f t="shared" si="0"/>
        <v>Net Expenses
(g + h)</v>
      </c>
      <c r="AA6" s="310" t="str">
        <f>L6</f>
        <v>Employer HSA
Contributions</v>
      </c>
      <c r="AB6" s="153"/>
      <c r="AC6" s="153"/>
      <c r="AD6" s="153"/>
      <c r="AE6" s="153"/>
      <c r="AF6" s="153"/>
      <c r="AG6" s="153"/>
      <c r="AH6" s="153"/>
      <c r="AI6" s="153"/>
      <c r="AJ6" s="153"/>
      <c r="AL6" s="125"/>
      <c r="AM6" s="125"/>
      <c r="AP6" s="153"/>
      <c r="AQ6" s="153"/>
      <c r="AR6" s="153"/>
    </row>
    <row r="7" spans="1:44" ht="14.85" customHeight="1">
      <c r="A7" s="155" t="s">
        <v>1217</v>
      </c>
      <c r="B7" s="311">
        <v>558</v>
      </c>
      <c r="C7" s="312">
        <v>975324.60000000009</v>
      </c>
      <c r="D7" s="156">
        <v>668636.28</v>
      </c>
      <c r="E7" s="157">
        <v>0</v>
      </c>
      <c r="F7" s="156">
        <f t="shared" ref="F7:F23" si="1">E7+D7</f>
        <v>668636.28</v>
      </c>
      <c r="G7" s="313">
        <v>362381.66000000003</v>
      </c>
      <c r="H7" s="158">
        <f>SUM(F7:G7)</f>
        <v>1031017.9400000001</v>
      </c>
      <c r="I7" s="158">
        <v>88473.670000000013</v>
      </c>
      <c r="J7" s="312">
        <f>SUM(H7:I7)</f>
        <v>1119491.6100000001</v>
      </c>
      <c r="K7" s="314">
        <f t="shared" ref="K7:K23" si="2">+J7/C7</f>
        <v>1.1478143891787411</v>
      </c>
      <c r="L7" s="492">
        <v>25250</v>
      </c>
      <c r="M7" s="1152"/>
      <c r="N7" s="533"/>
      <c r="O7" s="534"/>
      <c r="P7" s="160" t="s">
        <v>1218</v>
      </c>
      <c r="Q7" s="127">
        <v>1</v>
      </c>
      <c r="R7" s="161">
        <f t="shared" si="0"/>
        <v>558</v>
      </c>
      <c r="S7" s="162">
        <f t="shared" si="0"/>
        <v>975324.60000000009</v>
      </c>
      <c r="T7" s="315">
        <f t="shared" si="0"/>
        <v>668636.28</v>
      </c>
      <c r="U7" s="316">
        <f t="shared" si="0"/>
        <v>0</v>
      </c>
      <c r="V7" s="316">
        <f t="shared" si="0"/>
        <v>668636.28</v>
      </c>
      <c r="W7" s="163">
        <f t="shared" si="0"/>
        <v>362381.66000000003</v>
      </c>
      <c r="X7" s="163">
        <f t="shared" si="0"/>
        <v>1031017.9400000001</v>
      </c>
      <c r="Y7" s="164">
        <f t="shared" si="0"/>
        <v>88473.670000000013</v>
      </c>
      <c r="Z7" s="162">
        <f t="shared" si="0"/>
        <v>1119491.6100000001</v>
      </c>
      <c r="AA7" s="345">
        <f>L7</f>
        <v>25250</v>
      </c>
      <c r="AL7" s="166"/>
      <c r="AM7" s="166"/>
      <c r="AN7" s="167"/>
      <c r="AO7" s="167"/>
    </row>
    <row r="8" spans="1:44" ht="14.85" customHeight="1">
      <c r="A8" s="168" t="s">
        <v>1219</v>
      </c>
      <c r="B8" s="311">
        <v>554</v>
      </c>
      <c r="C8" s="169">
        <v>973259.69000000006</v>
      </c>
      <c r="D8" s="170">
        <v>552545.74999999988</v>
      </c>
      <c r="E8" s="171">
        <v>0</v>
      </c>
      <c r="F8" s="170">
        <f t="shared" si="1"/>
        <v>552545.74999999988</v>
      </c>
      <c r="G8" s="172">
        <v>241906.5</v>
      </c>
      <c r="H8" s="172">
        <f t="shared" ref="H8:H23" si="3">SUM(F8:G8)</f>
        <v>794452.24999999988</v>
      </c>
      <c r="I8" s="172">
        <v>88305.52</v>
      </c>
      <c r="J8" s="169">
        <f t="shared" ref="J8:J23" si="4">SUM(H8:I8)</f>
        <v>882757.7699999999</v>
      </c>
      <c r="K8" s="314">
        <f t="shared" si="2"/>
        <v>0.90701153974639581</v>
      </c>
      <c r="L8" s="493">
        <v>26000</v>
      </c>
      <c r="M8" s="1152"/>
      <c r="N8" s="533"/>
      <c r="O8" s="534"/>
      <c r="P8" s="160" t="s">
        <v>1219</v>
      </c>
      <c r="Q8" s="127">
        <v>2</v>
      </c>
      <c r="R8" s="161">
        <f>AVERAGE($B$7:B8)</f>
        <v>556</v>
      </c>
      <c r="S8" s="174">
        <f t="shared" ref="S8:S18" si="5">S7+C8</f>
        <v>1948584.29</v>
      </c>
      <c r="T8" s="175">
        <f t="shared" ref="T8:T18" si="6">T7+D8</f>
        <v>1221182.0299999998</v>
      </c>
      <c r="U8" s="171">
        <f t="shared" ref="U8:U18" si="7">U7+E8</f>
        <v>0</v>
      </c>
      <c r="V8" s="171">
        <f t="shared" ref="V8:V18" si="8">V7+F8</f>
        <v>1221182.0299999998</v>
      </c>
      <c r="W8" s="176">
        <f t="shared" ref="W8:W18" si="9">W7+G8</f>
        <v>604288.16</v>
      </c>
      <c r="X8" s="172">
        <f t="shared" ref="X8:X18" si="10">X7+H8</f>
        <v>1825470.19</v>
      </c>
      <c r="Y8" s="177">
        <f t="shared" ref="Y8:Y18" si="11">Y7+I8</f>
        <v>176779.19</v>
      </c>
      <c r="Z8" s="174">
        <f t="shared" ref="Z8:Z18" si="12">Z7+J8</f>
        <v>2002249.38</v>
      </c>
      <c r="AA8" s="495">
        <f t="shared" ref="AA8:AA18" si="13">AA7+L8</f>
        <v>51250</v>
      </c>
      <c r="AL8" s="166"/>
      <c r="AM8" s="166"/>
      <c r="AN8" s="167"/>
      <c r="AO8" s="167"/>
    </row>
    <row r="9" spans="1:44" ht="14.85" customHeight="1" thickBot="1">
      <c r="A9" s="168" t="s">
        <v>1220</v>
      </c>
      <c r="B9" s="311">
        <v>556</v>
      </c>
      <c r="C9" s="169">
        <v>975156.04</v>
      </c>
      <c r="D9" s="170">
        <v>374517.27</v>
      </c>
      <c r="E9" s="171">
        <v>0</v>
      </c>
      <c r="F9" s="170">
        <f t="shared" si="1"/>
        <v>374517.27</v>
      </c>
      <c r="G9" s="172">
        <v>330845.90999999997</v>
      </c>
      <c r="H9" s="172">
        <f t="shared" si="3"/>
        <v>705363.17999999993</v>
      </c>
      <c r="I9" s="172">
        <v>88329.450000000012</v>
      </c>
      <c r="J9" s="169">
        <f t="shared" si="4"/>
        <v>793692.62999999989</v>
      </c>
      <c r="K9" s="314">
        <f t="shared" si="2"/>
        <v>0.81391346353143634</v>
      </c>
      <c r="L9" s="493">
        <v>26250</v>
      </c>
      <c r="M9" s="1152"/>
      <c r="N9" s="533"/>
      <c r="O9" s="534"/>
      <c r="P9" s="160" t="s">
        <v>1220</v>
      </c>
      <c r="Q9" s="127">
        <v>3</v>
      </c>
      <c r="R9" s="161">
        <f>AVERAGE($B$7:B9)</f>
        <v>556</v>
      </c>
      <c r="S9" s="174">
        <f t="shared" si="5"/>
        <v>2923740.33</v>
      </c>
      <c r="T9" s="175">
        <f t="shared" si="6"/>
        <v>1595699.2999999998</v>
      </c>
      <c r="U9" s="171">
        <f t="shared" si="7"/>
        <v>0</v>
      </c>
      <c r="V9" s="171">
        <f t="shared" si="8"/>
        <v>1595699.2999999998</v>
      </c>
      <c r="W9" s="176">
        <f t="shared" si="9"/>
        <v>935134.07000000007</v>
      </c>
      <c r="X9" s="172">
        <f t="shared" si="10"/>
        <v>2530833.37</v>
      </c>
      <c r="Y9" s="177">
        <f t="shared" si="11"/>
        <v>265108.64</v>
      </c>
      <c r="Z9" s="174">
        <f t="shared" si="12"/>
        <v>2795942.01</v>
      </c>
      <c r="AA9" s="495">
        <f t="shared" si="13"/>
        <v>77500</v>
      </c>
      <c r="AL9" s="166"/>
      <c r="AM9" s="166"/>
      <c r="AN9" s="167"/>
      <c r="AO9" s="167"/>
    </row>
    <row r="10" spans="1:44" ht="14.85" customHeight="1">
      <c r="A10" s="168" t="s">
        <v>1221</v>
      </c>
      <c r="B10" s="311">
        <v>554</v>
      </c>
      <c r="C10" s="169">
        <v>974100.47000000009</v>
      </c>
      <c r="D10" s="170">
        <v>446251.98000000004</v>
      </c>
      <c r="E10" s="171">
        <v>0</v>
      </c>
      <c r="F10" s="170">
        <f t="shared" si="1"/>
        <v>446251.98000000004</v>
      </c>
      <c r="G10" s="172">
        <v>312906.98</v>
      </c>
      <c r="H10" s="172">
        <f t="shared" si="3"/>
        <v>759158.96</v>
      </c>
      <c r="I10" s="172">
        <v>88185.23</v>
      </c>
      <c r="J10" s="169">
        <f t="shared" si="4"/>
        <v>847344.19</v>
      </c>
      <c r="K10" s="314">
        <f t="shared" si="2"/>
        <v>0.8698735049373294</v>
      </c>
      <c r="L10" s="493">
        <v>26125</v>
      </c>
      <c r="M10" s="494"/>
      <c r="N10" s="535"/>
      <c r="O10" s="536">
        <f t="shared" ref="O10:O21" si="14">N10/G10</f>
        <v>0</v>
      </c>
      <c r="P10" s="160" t="s">
        <v>1221</v>
      </c>
      <c r="Q10" s="127">
        <v>4</v>
      </c>
      <c r="R10" s="161">
        <f>AVERAGE($B$7:B10)</f>
        <v>555.5</v>
      </c>
      <c r="S10" s="174">
        <f t="shared" si="5"/>
        <v>3897840.8000000003</v>
      </c>
      <c r="T10" s="175">
        <f t="shared" si="6"/>
        <v>2041951.2799999998</v>
      </c>
      <c r="U10" s="171">
        <f t="shared" si="7"/>
        <v>0</v>
      </c>
      <c r="V10" s="171">
        <f t="shared" si="8"/>
        <v>2041951.2799999998</v>
      </c>
      <c r="W10" s="176">
        <f t="shared" si="9"/>
        <v>1248041.05</v>
      </c>
      <c r="X10" s="172">
        <f t="shared" si="10"/>
        <v>3289992.33</v>
      </c>
      <c r="Y10" s="177">
        <f t="shared" si="11"/>
        <v>353293.87</v>
      </c>
      <c r="Z10" s="174">
        <f t="shared" si="12"/>
        <v>3643286.1999999997</v>
      </c>
      <c r="AA10" s="495">
        <f t="shared" si="13"/>
        <v>103625</v>
      </c>
      <c r="AL10" s="166"/>
      <c r="AM10" s="166"/>
      <c r="AN10" s="167"/>
      <c r="AO10" s="167"/>
    </row>
    <row r="11" spans="1:44" ht="14.85" customHeight="1">
      <c r="A11" s="168" t="s">
        <v>1222</v>
      </c>
      <c r="B11" s="317">
        <v>558</v>
      </c>
      <c r="C11" s="169">
        <v>978145.64999999991</v>
      </c>
      <c r="D11" s="170">
        <v>930135.14</v>
      </c>
      <c r="E11" s="171">
        <v>0</v>
      </c>
      <c r="F11" s="170">
        <f t="shared" si="1"/>
        <v>930135.14</v>
      </c>
      <c r="G11" s="172">
        <v>339442.24999999994</v>
      </c>
      <c r="H11" s="172">
        <f t="shared" si="3"/>
        <v>1269577.3899999999</v>
      </c>
      <c r="I11" s="172">
        <v>88714.250000000015</v>
      </c>
      <c r="J11" s="169">
        <f t="shared" si="4"/>
        <v>1358291.64</v>
      </c>
      <c r="K11" s="314">
        <f t="shared" si="2"/>
        <v>1.3886394526213965</v>
      </c>
      <c r="L11" s="493">
        <v>26625</v>
      </c>
      <c r="M11" s="494"/>
      <c r="N11" s="537"/>
      <c r="O11" s="538">
        <f t="shared" si="14"/>
        <v>0</v>
      </c>
      <c r="P11" s="160" t="s">
        <v>1222</v>
      </c>
      <c r="Q11" s="127">
        <v>5</v>
      </c>
      <c r="R11" s="161">
        <f>AVERAGE($B$7:B11)</f>
        <v>556</v>
      </c>
      <c r="S11" s="174">
        <f t="shared" si="5"/>
        <v>4875986.45</v>
      </c>
      <c r="T11" s="175">
        <f t="shared" si="6"/>
        <v>2972086.42</v>
      </c>
      <c r="U11" s="171">
        <f t="shared" si="7"/>
        <v>0</v>
      </c>
      <c r="V11" s="171">
        <f t="shared" si="8"/>
        <v>2972086.42</v>
      </c>
      <c r="W11" s="176">
        <f t="shared" si="9"/>
        <v>1587483.3</v>
      </c>
      <c r="X11" s="172">
        <f t="shared" si="10"/>
        <v>4559569.72</v>
      </c>
      <c r="Y11" s="177">
        <f t="shared" si="11"/>
        <v>442008.12</v>
      </c>
      <c r="Z11" s="174">
        <f t="shared" si="12"/>
        <v>5001577.84</v>
      </c>
      <c r="AA11" s="495">
        <f t="shared" si="13"/>
        <v>130250</v>
      </c>
      <c r="AL11" s="166"/>
      <c r="AM11" s="166"/>
      <c r="AN11" s="167"/>
      <c r="AO11" s="167"/>
    </row>
    <row r="12" spans="1:44" ht="14.85" customHeight="1">
      <c r="A12" s="155" t="s">
        <v>1223</v>
      </c>
      <c r="B12" s="311">
        <v>555</v>
      </c>
      <c r="C12" s="169">
        <v>973478.22</v>
      </c>
      <c r="D12" s="170">
        <v>491744.22000000003</v>
      </c>
      <c r="E12" s="171">
        <v>-60268.68</v>
      </c>
      <c r="F12" s="170">
        <f t="shared" si="1"/>
        <v>431475.54000000004</v>
      </c>
      <c r="G12" s="172">
        <v>335567.23</v>
      </c>
      <c r="H12" s="172">
        <f t="shared" si="3"/>
        <v>767042.77</v>
      </c>
      <c r="I12" s="172">
        <v>88257.340000000011</v>
      </c>
      <c r="J12" s="169">
        <f t="shared" si="4"/>
        <v>855300.11</v>
      </c>
      <c r="K12" s="314">
        <f t="shared" si="2"/>
        <v>0.87860220437186565</v>
      </c>
      <c r="L12" s="493">
        <v>26375</v>
      </c>
      <c r="M12" s="494"/>
      <c r="N12" s="537"/>
      <c r="O12" s="538">
        <f t="shared" si="14"/>
        <v>0</v>
      </c>
      <c r="P12" s="160" t="s">
        <v>1223</v>
      </c>
      <c r="Q12" s="127">
        <v>6</v>
      </c>
      <c r="R12" s="161">
        <f>AVERAGE($B$7:B12)</f>
        <v>555.83333333333337</v>
      </c>
      <c r="S12" s="174">
        <f t="shared" si="5"/>
        <v>5849464.6699999999</v>
      </c>
      <c r="T12" s="175">
        <f t="shared" si="6"/>
        <v>3463830.64</v>
      </c>
      <c r="U12" s="171">
        <f t="shared" si="7"/>
        <v>-60268.68</v>
      </c>
      <c r="V12" s="171">
        <f t="shared" si="8"/>
        <v>3403561.96</v>
      </c>
      <c r="W12" s="176">
        <f t="shared" si="9"/>
        <v>1923050.53</v>
      </c>
      <c r="X12" s="172">
        <f t="shared" si="10"/>
        <v>5326612.49</v>
      </c>
      <c r="Y12" s="177">
        <f t="shared" si="11"/>
        <v>530265.46</v>
      </c>
      <c r="Z12" s="174">
        <f t="shared" si="12"/>
        <v>5856877.9500000002</v>
      </c>
      <c r="AA12" s="495">
        <f t="shared" si="13"/>
        <v>156625</v>
      </c>
      <c r="AL12" s="166"/>
      <c r="AM12" s="166"/>
      <c r="AN12" s="167"/>
      <c r="AO12" s="167"/>
    </row>
    <row r="13" spans="1:44" ht="14.85" customHeight="1">
      <c r="A13" s="168" t="s">
        <v>1224</v>
      </c>
      <c r="B13" s="311">
        <v>557</v>
      </c>
      <c r="C13" s="169">
        <v>970031.31999999983</v>
      </c>
      <c r="D13" s="170">
        <v>523393.57999999996</v>
      </c>
      <c r="E13" s="171">
        <v>-132209</v>
      </c>
      <c r="F13" s="170">
        <f t="shared" si="1"/>
        <v>391184.57999999996</v>
      </c>
      <c r="G13" s="172">
        <v>296226.63</v>
      </c>
      <c r="H13" s="172">
        <f t="shared" si="3"/>
        <v>687411.21</v>
      </c>
      <c r="I13" s="172">
        <v>88160.98000000001</v>
      </c>
      <c r="J13" s="169">
        <f t="shared" si="4"/>
        <v>775572.19</v>
      </c>
      <c r="K13" s="314">
        <f t="shared" si="2"/>
        <v>0.79953314290924138</v>
      </c>
      <c r="L13" s="493">
        <v>26375</v>
      </c>
      <c r="M13" s="494"/>
      <c r="N13" s="537"/>
      <c r="O13" s="538">
        <f t="shared" si="14"/>
        <v>0</v>
      </c>
      <c r="P13" s="160" t="s">
        <v>1224</v>
      </c>
      <c r="Q13" s="127">
        <v>7</v>
      </c>
      <c r="R13" s="161">
        <f>AVERAGE($B$7:B13)</f>
        <v>556</v>
      </c>
      <c r="S13" s="174">
        <f t="shared" si="5"/>
        <v>6819495.9900000002</v>
      </c>
      <c r="T13" s="175">
        <f t="shared" si="6"/>
        <v>3987224.22</v>
      </c>
      <c r="U13" s="171">
        <f t="shared" si="7"/>
        <v>-192477.68</v>
      </c>
      <c r="V13" s="171">
        <f t="shared" si="8"/>
        <v>3794746.54</v>
      </c>
      <c r="W13" s="176">
        <f t="shared" si="9"/>
        <v>2219277.16</v>
      </c>
      <c r="X13" s="172">
        <f t="shared" si="10"/>
        <v>6014023.7000000002</v>
      </c>
      <c r="Y13" s="177">
        <f t="shared" si="11"/>
        <v>618426.43999999994</v>
      </c>
      <c r="Z13" s="174">
        <f t="shared" si="12"/>
        <v>6632450.1400000006</v>
      </c>
      <c r="AA13" s="495">
        <f t="shared" si="13"/>
        <v>183000</v>
      </c>
      <c r="AL13" s="166"/>
      <c r="AM13" s="166"/>
      <c r="AN13" s="167"/>
      <c r="AO13" s="167"/>
    </row>
    <row r="14" spans="1:44" ht="14.85" customHeight="1">
      <c r="A14" s="168" t="s">
        <v>1225</v>
      </c>
      <c r="B14" s="311">
        <v>568</v>
      </c>
      <c r="C14" s="169">
        <v>981014.51</v>
      </c>
      <c r="D14" s="170">
        <v>696043.09000000008</v>
      </c>
      <c r="E14" s="171">
        <v>-151853</v>
      </c>
      <c r="F14" s="170">
        <f t="shared" si="1"/>
        <v>544190.09000000008</v>
      </c>
      <c r="G14" s="172">
        <v>293863.95</v>
      </c>
      <c r="H14" s="172">
        <f t="shared" si="3"/>
        <v>838054.04</v>
      </c>
      <c r="I14" s="172">
        <v>89435.35</v>
      </c>
      <c r="J14" s="169">
        <f t="shared" si="4"/>
        <v>927489.39</v>
      </c>
      <c r="K14" s="314">
        <f t="shared" si="2"/>
        <v>0.94543901292550714</v>
      </c>
      <c r="L14" s="493">
        <v>27250</v>
      </c>
      <c r="M14" s="494"/>
      <c r="N14" s="537"/>
      <c r="O14" s="538">
        <f t="shared" si="14"/>
        <v>0</v>
      </c>
      <c r="P14" s="160" t="s">
        <v>1225</v>
      </c>
      <c r="Q14" s="127">
        <v>8</v>
      </c>
      <c r="R14" s="161">
        <f>AVERAGE($B$7:B14)</f>
        <v>557.5</v>
      </c>
      <c r="S14" s="174">
        <f t="shared" si="5"/>
        <v>7800510.5</v>
      </c>
      <c r="T14" s="175">
        <f t="shared" si="6"/>
        <v>4683267.3100000005</v>
      </c>
      <c r="U14" s="171">
        <f t="shared" si="7"/>
        <v>-344330.68</v>
      </c>
      <c r="V14" s="171">
        <f t="shared" si="8"/>
        <v>4338936.63</v>
      </c>
      <c r="W14" s="176">
        <f t="shared" si="9"/>
        <v>2513141.1100000003</v>
      </c>
      <c r="X14" s="172">
        <f t="shared" si="10"/>
        <v>6852077.7400000002</v>
      </c>
      <c r="Y14" s="177">
        <f t="shared" si="11"/>
        <v>707861.78999999992</v>
      </c>
      <c r="Z14" s="174">
        <f t="shared" si="12"/>
        <v>7559939.5300000003</v>
      </c>
      <c r="AA14" s="495">
        <f t="shared" si="13"/>
        <v>210250</v>
      </c>
      <c r="AL14" s="166"/>
      <c r="AM14" s="166"/>
      <c r="AN14" s="167"/>
      <c r="AO14" s="167"/>
    </row>
    <row r="15" spans="1:44" ht="14.85" customHeight="1">
      <c r="A15" s="168" t="s">
        <v>1226</v>
      </c>
      <c r="B15" s="311">
        <v>576</v>
      </c>
      <c r="C15" s="169">
        <v>989094.83</v>
      </c>
      <c r="D15" s="170">
        <v>584243.25</v>
      </c>
      <c r="E15" s="171">
        <v>-230090</v>
      </c>
      <c r="F15" s="170">
        <f t="shared" si="1"/>
        <v>354153.25</v>
      </c>
      <c r="G15" s="172">
        <v>341941.60000000003</v>
      </c>
      <c r="H15" s="172">
        <f t="shared" si="3"/>
        <v>696094.85000000009</v>
      </c>
      <c r="I15" s="172">
        <v>90373.1</v>
      </c>
      <c r="J15" s="169">
        <f t="shared" si="4"/>
        <v>786467.95000000007</v>
      </c>
      <c r="K15" s="314">
        <f t="shared" si="2"/>
        <v>0.79513907680621498</v>
      </c>
      <c r="L15" s="493">
        <v>28000</v>
      </c>
      <c r="M15" s="179"/>
      <c r="N15" s="539"/>
      <c r="O15" s="540">
        <f t="shared" si="14"/>
        <v>0</v>
      </c>
      <c r="P15" s="160" t="s">
        <v>1226</v>
      </c>
      <c r="Q15" s="127">
        <v>9</v>
      </c>
      <c r="R15" s="161">
        <f>AVERAGE($B$7:B15)</f>
        <v>559.55555555555554</v>
      </c>
      <c r="S15" s="174">
        <f t="shared" si="5"/>
        <v>8789605.3300000001</v>
      </c>
      <c r="T15" s="175">
        <f t="shared" si="6"/>
        <v>5267510.5600000005</v>
      </c>
      <c r="U15" s="171">
        <f t="shared" si="7"/>
        <v>-574420.67999999993</v>
      </c>
      <c r="V15" s="171">
        <f t="shared" si="8"/>
        <v>4693089.88</v>
      </c>
      <c r="W15" s="176">
        <f t="shared" si="9"/>
        <v>2855082.7100000004</v>
      </c>
      <c r="X15" s="172">
        <f t="shared" si="10"/>
        <v>7548172.5899999999</v>
      </c>
      <c r="Y15" s="177">
        <f t="shared" si="11"/>
        <v>798234.8899999999</v>
      </c>
      <c r="Z15" s="174">
        <f t="shared" si="12"/>
        <v>8346407.4800000004</v>
      </c>
      <c r="AA15" s="495">
        <f t="shared" si="13"/>
        <v>238250</v>
      </c>
      <c r="AL15" s="166"/>
      <c r="AM15" s="166"/>
      <c r="AN15" s="167"/>
      <c r="AO15" s="167"/>
    </row>
    <row r="16" spans="1:44" ht="14.85" customHeight="1">
      <c r="A16" s="168" t="s">
        <v>1227</v>
      </c>
      <c r="B16" s="311">
        <v>577</v>
      </c>
      <c r="C16" s="169">
        <v>969476.42999999993</v>
      </c>
      <c r="D16" s="170">
        <v>724020.69</v>
      </c>
      <c r="E16" s="171">
        <v>-173859.76</v>
      </c>
      <c r="F16" s="170">
        <f t="shared" si="1"/>
        <v>550160.92999999993</v>
      </c>
      <c r="G16" s="172">
        <v>366549.33999999997</v>
      </c>
      <c r="H16" s="172">
        <f t="shared" si="3"/>
        <v>916710.2699999999</v>
      </c>
      <c r="I16" s="172">
        <v>88881.44</v>
      </c>
      <c r="J16" s="169">
        <f t="shared" si="4"/>
        <v>1005591.71</v>
      </c>
      <c r="K16" s="314">
        <f t="shared" si="2"/>
        <v>1.0372523548612729</v>
      </c>
      <c r="L16" s="493">
        <v>27125</v>
      </c>
      <c r="M16" s="179"/>
      <c r="N16" s="539"/>
      <c r="O16" s="540">
        <f t="shared" si="14"/>
        <v>0</v>
      </c>
      <c r="P16" s="160" t="s">
        <v>1227</v>
      </c>
      <c r="Q16" s="127">
        <v>10</v>
      </c>
      <c r="R16" s="161">
        <f>AVERAGE($B$7:B16)</f>
        <v>561.29999999999995</v>
      </c>
      <c r="S16" s="174">
        <f t="shared" si="5"/>
        <v>9759081.7599999998</v>
      </c>
      <c r="T16" s="175">
        <f t="shared" si="6"/>
        <v>5991531.25</v>
      </c>
      <c r="U16" s="171">
        <f t="shared" si="7"/>
        <v>-748280.44</v>
      </c>
      <c r="V16" s="171">
        <f t="shared" si="8"/>
        <v>5243250.8099999996</v>
      </c>
      <c r="W16" s="176">
        <f t="shared" si="9"/>
        <v>3221632.0500000003</v>
      </c>
      <c r="X16" s="172">
        <f t="shared" si="10"/>
        <v>8464882.8599999994</v>
      </c>
      <c r="Y16" s="177">
        <f t="shared" si="11"/>
        <v>887116.32999999984</v>
      </c>
      <c r="Z16" s="174">
        <f t="shared" si="12"/>
        <v>9351999.1900000013</v>
      </c>
      <c r="AA16" s="495">
        <f t="shared" si="13"/>
        <v>265375</v>
      </c>
      <c r="AL16" s="166"/>
      <c r="AM16" s="166"/>
      <c r="AN16" s="167"/>
      <c r="AO16" s="167"/>
    </row>
    <row r="17" spans="1:41" ht="14.85" customHeight="1">
      <c r="A17" s="168" t="s">
        <v>1228</v>
      </c>
      <c r="B17" s="311">
        <v>578</v>
      </c>
      <c r="C17" s="169">
        <v>986841.42</v>
      </c>
      <c r="D17" s="318">
        <v>699783.51</v>
      </c>
      <c r="E17" s="171">
        <v>-134882</v>
      </c>
      <c r="F17" s="170">
        <f t="shared" si="1"/>
        <v>564901.51</v>
      </c>
      <c r="G17" s="172">
        <v>281728.91999999993</v>
      </c>
      <c r="H17" s="172">
        <f t="shared" si="3"/>
        <v>846630.42999999993</v>
      </c>
      <c r="I17" s="172">
        <v>90276.74</v>
      </c>
      <c r="J17" s="169">
        <f t="shared" si="4"/>
        <v>936907.16999999993</v>
      </c>
      <c r="K17" s="314">
        <f t="shared" si="2"/>
        <v>0.94939992486330771</v>
      </c>
      <c r="L17" s="493">
        <v>27375</v>
      </c>
      <c r="M17" s="179"/>
      <c r="N17" s="539"/>
      <c r="O17" s="540">
        <f t="shared" si="14"/>
        <v>0</v>
      </c>
      <c r="P17" s="160" t="s">
        <v>1228</v>
      </c>
      <c r="Q17" s="127">
        <v>11</v>
      </c>
      <c r="R17" s="161">
        <f>AVERAGE($B$7:B17)</f>
        <v>562.81818181818187</v>
      </c>
      <c r="S17" s="174">
        <f t="shared" si="5"/>
        <v>10745923.18</v>
      </c>
      <c r="T17" s="175">
        <f t="shared" si="6"/>
        <v>6691314.7599999998</v>
      </c>
      <c r="U17" s="171">
        <f t="shared" si="7"/>
        <v>-883162.44</v>
      </c>
      <c r="V17" s="171">
        <f t="shared" si="8"/>
        <v>5808152.3199999994</v>
      </c>
      <c r="W17" s="176">
        <f t="shared" si="9"/>
        <v>3503360.97</v>
      </c>
      <c r="X17" s="172">
        <f t="shared" si="10"/>
        <v>9311513.2899999991</v>
      </c>
      <c r="Y17" s="177">
        <f t="shared" si="11"/>
        <v>977393.06999999983</v>
      </c>
      <c r="Z17" s="174">
        <f t="shared" si="12"/>
        <v>10288906.360000001</v>
      </c>
      <c r="AA17" s="495">
        <f t="shared" si="13"/>
        <v>292750</v>
      </c>
      <c r="AL17" s="166"/>
      <c r="AM17" s="166"/>
      <c r="AN17" s="167"/>
      <c r="AO17" s="167"/>
    </row>
    <row r="18" spans="1:41" ht="14.85" customHeight="1" thickBot="1">
      <c r="A18" s="168" t="s">
        <v>1229</v>
      </c>
      <c r="B18" s="311">
        <v>581</v>
      </c>
      <c r="C18" s="173">
        <v>992321.85</v>
      </c>
      <c r="D18" s="319">
        <v>583485.29</v>
      </c>
      <c r="E18" s="320">
        <v>-193967</v>
      </c>
      <c r="F18" s="170">
        <f t="shared" si="1"/>
        <v>389518.29000000004</v>
      </c>
      <c r="G18" s="180">
        <v>353538.01</v>
      </c>
      <c r="H18" s="172">
        <f t="shared" si="3"/>
        <v>743056.3</v>
      </c>
      <c r="I18" s="172">
        <v>90733.650000000009</v>
      </c>
      <c r="J18" s="169">
        <f t="shared" si="4"/>
        <v>833789.95000000007</v>
      </c>
      <c r="K18" s="314">
        <f t="shared" si="2"/>
        <v>0.84024144988846117</v>
      </c>
      <c r="L18" s="493">
        <v>27500</v>
      </c>
      <c r="M18" s="179"/>
      <c r="N18" s="539"/>
      <c r="O18" s="540">
        <f t="shared" si="14"/>
        <v>0</v>
      </c>
      <c r="P18" s="160" t="s">
        <v>1229</v>
      </c>
      <c r="Q18" s="127">
        <v>12</v>
      </c>
      <c r="R18" s="182">
        <f>AVERAGE($B$7:B18)</f>
        <v>564.33333333333337</v>
      </c>
      <c r="S18" s="183">
        <f t="shared" si="5"/>
        <v>11738245.029999999</v>
      </c>
      <c r="T18" s="184">
        <f t="shared" si="6"/>
        <v>7274800.0499999998</v>
      </c>
      <c r="U18" s="185">
        <f t="shared" si="7"/>
        <v>-1077129.44</v>
      </c>
      <c r="V18" s="185">
        <f t="shared" si="8"/>
        <v>6197670.6099999994</v>
      </c>
      <c r="W18" s="186">
        <f t="shared" si="9"/>
        <v>3856898.9800000004</v>
      </c>
      <c r="X18" s="187">
        <f t="shared" si="10"/>
        <v>10054569.59</v>
      </c>
      <c r="Y18" s="188">
        <f t="shared" si="11"/>
        <v>1068126.7199999997</v>
      </c>
      <c r="Z18" s="183">
        <f t="shared" si="12"/>
        <v>11122696.310000001</v>
      </c>
      <c r="AA18" s="496">
        <f t="shared" si="13"/>
        <v>320250</v>
      </c>
      <c r="AL18" s="166"/>
      <c r="AM18" s="166"/>
      <c r="AN18" s="167"/>
      <c r="AO18" s="167"/>
    </row>
    <row r="19" spans="1:41" ht="14.85" customHeight="1" thickTop="1">
      <c r="A19" s="321" t="s">
        <v>1230</v>
      </c>
      <c r="B19" s="322">
        <v>600</v>
      </c>
      <c r="C19" s="323">
        <v>1114121.03</v>
      </c>
      <c r="D19" s="324">
        <v>825653.77999999991</v>
      </c>
      <c r="E19" s="325">
        <v>0</v>
      </c>
      <c r="F19" s="324">
        <f t="shared" si="1"/>
        <v>825653.77999999991</v>
      </c>
      <c r="G19" s="326">
        <v>329351.77</v>
      </c>
      <c r="H19" s="326">
        <f t="shared" si="3"/>
        <v>1155005.5499999998</v>
      </c>
      <c r="I19" s="326">
        <v>134913</v>
      </c>
      <c r="J19" s="323">
        <f t="shared" si="4"/>
        <v>1289918.5499999998</v>
      </c>
      <c r="K19" s="327">
        <f t="shared" si="2"/>
        <v>1.1577903255268414</v>
      </c>
      <c r="L19" s="497">
        <v>30250</v>
      </c>
      <c r="M19" s="179"/>
      <c r="N19" s="537"/>
      <c r="O19" s="540">
        <f t="shared" si="14"/>
        <v>0</v>
      </c>
      <c r="P19" s="190"/>
      <c r="Q19" s="127"/>
      <c r="R19" s="127"/>
      <c r="S19" s="127"/>
      <c r="T19" s="127"/>
      <c r="U19" s="191"/>
      <c r="V19" s="127"/>
      <c r="W19" s="127"/>
      <c r="X19" s="127"/>
      <c r="Y19" s="127"/>
      <c r="Z19" s="127"/>
      <c r="AA19" s="127"/>
    </row>
    <row r="20" spans="1:41" ht="14.85" customHeight="1">
      <c r="A20" s="168" t="s">
        <v>1219</v>
      </c>
      <c r="B20" s="311">
        <v>601</v>
      </c>
      <c r="C20" s="169">
        <v>1113929.0799999998</v>
      </c>
      <c r="D20" s="170">
        <v>403913.02</v>
      </c>
      <c r="E20" s="171">
        <v>0</v>
      </c>
      <c r="F20" s="170">
        <f t="shared" si="1"/>
        <v>403913.02</v>
      </c>
      <c r="G20" s="172">
        <v>287684.58</v>
      </c>
      <c r="H20" s="172">
        <f t="shared" si="3"/>
        <v>691597.60000000009</v>
      </c>
      <c r="I20" s="172">
        <v>134832.10999999999</v>
      </c>
      <c r="J20" s="169">
        <f t="shared" si="4"/>
        <v>826429.71000000008</v>
      </c>
      <c r="K20" s="314">
        <f t="shared" si="2"/>
        <v>0.74190513995738416</v>
      </c>
      <c r="L20" s="493">
        <v>30375</v>
      </c>
      <c r="M20" s="498"/>
      <c r="N20" s="537"/>
      <c r="O20" s="540">
        <f t="shared" si="14"/>
        <v>0</v>
      </c>
      <c r="P20" s="190"/>
      <c r="Q20" s="127"/>
      <c r="R20" s="127"/>
      <c r="S20" s="127"/>
      <c r="T20" s="127"/>
      <c r="U20" s="191"/>
      <c r="V20" s="127"/>
      <c r="W20" s="127"/>
      <c r="X20" s="127"/>
      <c r="Y20" s="127"/>
      <c r="Z20" s="127"/>
      <c r="AA20" s="127"/>
    </row>
    <row r="21" spans="1:41" ht="14.85" customHeight="1" thickBot="1">
      <c r="A21" s="168" t="s">
        <v>1220</v>
      </c>
      <c r="B21" s="311">
        <v>601</v>
      </c>
      <c r="C21" s="169">
        <v>1107887.1700000002</v>
      </c>
      <c r="D21" s="170">
        <v>542818.15</v>
      </c>
      <c r="E21" s="171">
        <v>0</v>
      </c>
      <c r="F21" s="170">
        <f t="shared" si="1"/>
        <v>542818.15</v>
      </c>
      <c r="G21" s="172">
        <v>293483.64999999997</v>
      </c>
      <c r="H21" s="172">
        <f t="shared" si="3"/>
        <v>836301.8</v>
      </c>
      <c r="I21" s="172">
        <v>134112.71</v>
      </c>
      <c r="J21" s="169">
        <f t="shared" si="4"/>
        <v>970414.51</v>
      </c>
      <c r="K21" s="314">
        <f t="shared" si="2"/>
        <v>0.87591456628205189</v>
      </c>
      <c r="L21" s="493">
        <v>30625</v>
      </c>
      <c r="M21" s="499"/>
      <c r="N21" s="541"/>
      <c r="O21" s="542">
        <f t="shared" si="14"/>
        <v>0</v>
      </c>
      <c r="P21" s="190"/>
      <c r="Q21" s="127"/>
      <c r="R21" s="127"/>
      <c r="S21" s="127"/>
      <c r="T21" s="127"/>
      <c r="U21" s="191"/>
      <c r="V21" s="127"/>
      <c r="W21" s="127"/>
      <c r="X21" s="127"/>
      <c r="Y21" s="127"/>
      <c r="Z21" s="127"/>
      <c r="AA21" s="127"/>
    </row>
    <row r="22" spans="1:41" ht="14.85" customHeight="1">
      <c r="A22" s="168" t="s">
        <v>1221</v>
      </c>
      <c r="B22" s="311">
        <v>596</v>
      </c>
      <c r="C22" s="169">
        <v>1097070.9100000001</v>
      </c>
      <c r="D22" s="170">
        <v>987446.64</v>
      </c>
      <c r="E22" s="171">
        <v>-171437</v>
      </c>
      <c r="F22" s="170">
        <f t="shared" si="1"/>
        <v>816009.64</v>
      </c>
      <c r="G22" s="172">
        <v>383525.33999999997</v>
      </c>
      <c r="H22" s="172">
        <f t="shared" si="3"/>
        <v>1199534.98</v>
      </c>
      <c r="I22" s="172">
        <v>132179.11000000002</v>
      </c>
      <c r="J22" s="169">
        <f t="shared" si="4"/>
        <v>1331714.0900000001</v>
      </c>
      <c r="K22" s="314">
        <f t="shared" si="2"/>
        <v>1.2138815074405718</v>
      </c>
      <c r="L22" s="493">
        <v>30250</v>
      </c>
      <c r="M22" s="500"/>
      <c r="N22" s="205"/>
      <c r="O22" s="512">
        <f>SUM(N10:N21)/SUM(G10:G21)</f>
        <v>0</v>
      </c>
      <c r="P22" s="190"/>
      <c r="Q22" s="501"/>
      <c r="R22" s="127"/>
      <c r="S22" s="127"/>
      <c r="T22" s="127"/>
      <c r="U22" s="191"/>
      <c r="V22" s="127"/>
      <c r="W22" s="127"/>
      <c r="X22" s="127"/>
      <c r="Y22" s="127"/>
      <c r="Z22" s="127"/>
      <c r="AA22" s="127"/>
    </row>
    <row r="23" spans="1:41" ht="14.85" customHeight="1">
      <c r="A23" s="168" t="s">
        <v>1222</v>
      </c>
      <c r="B23" s="311">
        <v>598</v>
      </c>
      <c r="C23" s="169">
        <v>1099721.53</v>
      </c>
      <c r="D23" s="170">
        <v>782684.39999999991</v>
      </c>
      <c r="E23" s="171">
        <v>-305048</v>
      </c>
      <c r="F23" s="170">
        <f t="shared" si="1"/>
        <v>477636.39999999991</v>
      </c>
      <c r="G23" s="172">
        <v>294740.07</v>
      </c>
      <c r="H23" s="172">
        <f t="shared" si="3"/>
        <v>772376.47</v>
      </c>
      <c r="I23" s="172">
        <v>132556.87999999998</v>
      </c>
      <c r="J23" s="169">
        <f t="shared" si="4"/>
        <v>904933.35</v>
      </c>
      <c r="K23" s="314">
        <f t="shared" si="2"/>
        <v>0.8228749963638522</v>
      </c>
      <c r="L23" s="493">
        <v>30250</v>
      </c>
      <c r="M23" s="205"/>
      <c r="N23" s="205"/>
      <c r="O23" s="205"/>
      <c r="P23" s="190"/>
      <c r="Q23" s="501"/>
      <c r="R23" s="127"/>
      <c r="S23" s="127"/>
      <c r="T23" s="127"/>
      <c r="U23" s="191"/>
      <c r="V23" s="127"/>
      <c r="W23" s="127"/>
      <c r="X23" s="127"/>
      <c r="Y23" s="127"/>
      <c r="Z23" s="127"/>
      <c r="AA23" s="127"/>
    </row>
    <row r="24" spans="1:41" ht="14.85" customHeight="1">
      <c r="A24" s="155" t="s">
        <v>1223</v>
      </c>
      <c r="B24" s="311"/>
      <c r="C24" s="169"/>
      <c r="D24" s="170"/>
      <c r="E24" s="171"/>
      <c r="F24" s="170"/>
      <c r="G24" s="172"/>
      <c r="H24" s="172"/>
      <c r="I24" s="172"/>
      <c r="J24" s="169"/>
      <c r="K24" s="314"/>
      <c r="L24" s="493"/>
      <c r="M24" s="179"/>
      <c r="N24" s="179"/>
      <c r="O24" s="179"/>
      <c r="P24" s="190"/>
      <c r="Q24" s="127"/>
      <c r="R24" s="127"/>
      <c r="S24" s="127"/>
      <c r="T24" s="127"/>
      <c r="U24" s="191"/>
      <c r="V24" s="127"/>
      <c r="W24" s="127"/>
      <c r="X24" s="127"/>
      <c r="Y24" s="127"/>
      <c r="Z24" s="127"/>
      <c r="AA24" s="127"/>
    </row>
    <row r="25" spans="1:41" ht="14.85" customHeight="1">
      <c r="A25" s="168" t="s">
        <v>1224</v>
      </c>
      <c r="B25" s="311"/>
      <c r="C25" s="169"/>
      <c r="D25" s="170"/>
      <c r="E25" s="171"/>
      <c r="F25" s="170"/>
      <c r="G25" s="172"/>
      <c r="H25" s="172"/>
      <c r="I25" s="172"/>
      <c r="J25" s="169"/>
      <c r="K25" s="314"/>
      <c r="L25" s="493"/>
      <c r="M25" s="179"/>
      <c r="N25" s="179"/>
      <c r="O25" s="179"/>
      <c r="P25" s="179"/>
      <c r="Q25" s="193"/>
      <c r="R25" s="193"/>
      <c r="S25" s="193"/>
      <c r="T25" s="193"/>
      <c r="U25" s="194"/>
      <c r="V25" s="193"/>
      <c r="W25" s="193"/>
      <c r="X25" s="193"/>
      <c r="Y25" s="193"/>
      <c r="Z25" s="193"/>
      <c r="AA25" s="193"/>
    </row>
    <row r="26" spans="1:41" ht="14.85" customHeight="1">
      <c r="A26" s="168" t="s">
        <v>1225</v>
      </c>
      <c r="B26" s="311"/>
      <c r="C26" s="169"/>
      <c r="D26" s="170"/>
      <c r="E26" s="171"/>
      <c r="F26" s="170"/>
      <c r="G26" s="172"/>
      <c r="H26" s="172"/>
      <c r="I26" s="172"/>
      <c r="J26" s="169"/>
      <c r="K26" s="314"/>
      <c r="L26" s="493"/>
      <c r="M26" s="179"/>
      <c r="N26" s="179"/>
      <c r="O26" s="179"/>
      <c r="P26" s="179"/>
      <c r="Q26" s="193"/>
      <c r="R26" s="193"/>
      <c r="S26" s="193"/>
      <c r="T26" s="193"/>
      <c r="U26" s="194"/>
      <c r="V26" s="193"/>
      <c r="W26" s="193"/>
      <c r="X26" s="193"/>
      <c r="Y26" s="193"/>
      <c r="Z26" s="193"/>
      <c r="AA26" s="193"/>
    </row>
    <row r="27" spans="1:41" ht="14.85" customHeight="1">
      <c r="A27" s="168" t="s">
        <v>1226</v>
      </c>
      <c r="B27" s="311"/>
      <c r="C27" s="169"/>
      <c r="D27" s="170"/>
      <c r="E27" s="171"/>
      <c r="F27" s="170"/>
      <c r="G27" s="172"/>
      <c r="H27" s="172"/>
      <c r="I27" s="172"/>
      <c r="J27" s="169"/>
      <c r="K27" s="314"/>
      <c r="L27" s="493"/>
      <c r="M27" s="179"/>
      <c r="N27" s="179"/>
      <c r="O27" s="179"/>
      <c r="P27" s="179"/>
      <c r="Q27" s="193"/>
      <c r="R27" s="193"/>
      <c r="S27" s="193"/>
      <c r="T27" s="193"/>
      <c r="U27" s="194"/>
      <c r="V27" s="193"/>
      <c r="W27" s="193"/>
      <c r="X27" s="193"/>
      <c r="Y27" s="193"/>
      <c r="Z27" s="193"/>
      <c r="AA27" s="193"/>
    </row>
    <row r="28" spans="1:41" ht="14.85" customHeight="1">
      <c r="A28" s="168" t="s">
        <v>1227</v>
      </c>
      <c r="B28" s="311"/>
      <c r="C28" s="169"/>
      <c r="D28" s="170"/>
      <c r="E28" s="171"/>
      <c r="F28" s="170"/>
      <c r="G28" s="172"/>
      <c r="H28" s="172"/>
      <c r="I28" s="172"/>
      <c r="J28" s="169"/>
      <c r="K28" s="314"/>
      <c r="L28" s="493"/>
      <c r="M28" s="179"/>
      <c r="N28" s="179"/>
      <c r="O28" s="179"/>
      <c r="P28" s="179"/>
      <c r="Q28" s="193"/>
      <c r="R28" s="195"/>
      <c r="S28" s="195"/>
      <c r="T28" s="195"/>
      <c r="U28" s="136"/>
      <c r="V28" s="195"/>
      <c r="W28" s="195"/>
      <c r="X28" s="196"/>
      <c r="Y28" s="195"/>
      <c r="Z28" s="195"/>
      <c r="AA28" s="195"/>
    </row>
    <row r="29" spans="1:41" ht="14.85" customHeight="1">
      <c r="A29" s="168" t="s">
        <v>1228</v>
      </c>
      <c r="B29" s="311"/>
      <c r="C29" s="169"/>
      <c r="D29" s="170"/>
      <c r="E29" s="171"/>
      <c r="F29" s="170"/>
      <c r="G29" s="172"/>
      <c r="H29" s="172"/>
      <c r="I29" s="172"/>
      <c r="J29" s="169"/>
      <c r="K29" s="314"/>
      <c r="L29" s="493"/>
      <c r="M29" s="179"/>
      <c r="N29" s="179"/>
      <c r="O29" s="179"/>
      <c r="P29" s="179"/>
      <c r="Q29" s="193"/>
      <c r="R29" s="195"/>
      <c r="S29" s="195"/>
      <c r="T29" s="195"/>
      <c r="U29" s="136"/>
      <c r="V29" s="195"/>
      <c r="W29" s="195"/>
      <c r="X29" s="196"/>
      <c r="Y29" s="195"/>
      <c r="Z29" s="195"/>
      <c r="AA29" s="195"/>
    </row>
    <row r="30" spans="1:41" ht="14.85" customHeight="1" thickBot="1">
      <c r="A30" s="198" t="s">
        <v>1229</v>
      </c>
      <c r="B30" s="328"/>
      <c r="C30" s="199"/>
      <c r="D30" s="200"/>
      <c r="E30" s="185"/>
      <c r="F30" s="200"/>
      <c r="G30" s="187"/>
      <c r="H30" s="187"/>
      <c r="I30" s="187"/>
      <c r="J30" s="199"/>
      <c r="K30" s="329"/>
      <c r="L30" s="502"/>
      <c r="M30" s="179"/>
      <c r="N30" s="179"/>
      <c r="O30" s="179"/>
      <c r="P30" s="179"/>
      <c r="Q30" s="503"/>
      <c r="R30" s="195"/>
      <c r="S30" s="195"/>
      <c r="T30" s="195"/>
      <c r="U30" s="136"/>
      <c r="V30" s="195"/>
      <c r="W30" s="195"/>
      <c r="X30" s="196"/>
      <c r="Y30" s="195"/>
      <c r="Z30" s="195"/>
      <c r="AA30" s="195"/>
    </row>
    <row r="31" spans="1:41" ht="14.85" customHeight="1">
      <c r="A31" s="594"/>
      <c r="B31" s="203"/>
      <c r="C31" s="204"/>
      <c r="D31" s="204"/>
      <c r="E31" s="204"/>
      <c r="F31" s="204"/>
      <c r="G31" s="204"/>
      <c r="H31" s="191"/>
      <c r="I31" s="191"/>
      <c r="J31" s="191"/>
      <c r="K31" s="191"/>
      <c r="L31" s="191"/>
      <c r="M31" s="205"/>
      <c r="N31" s="205"/>
      <c r="O31" s="205"/>
      <c r="P31" s="205"/>
      <c r="Q31" s="193"/>
      <c r="R31" s="195"/>
      <c r="S31" s="195"/>
      <c r="T31" s="195"/>
      <c r="U31" s="136"/>
      <c r="V31" s="195"/>
      <c r="W31" s="195"/>
      <c r="X31" s="196"/>
      <c r="Y31" s="195"/>
      <c r="Z31" s="195"/>
      <c r="AA31" s="195"/>
    </row>
    <row r="32" spans="1:41" ht="12" customHeight="1" thickBot="1">
      <c r="A32" s="206"/>
      <c r="B32" s="207"/>
      <c r="C32" s="208"/>
      <c r="D32" s="208"/>
      <c r="E32" s="208"/>
      <c r="F32" s="208"/>
      <c r="G32" s="208"/>
      <c r="H32" s="208"/>
      <c r="I32" s="208"/>
      <c r="J32" s="208"/>
      <c r="K32" s="209"/>
      <c r="L32" s="208"/>
      <c r="Q32" s="193"/>
      <c r="R32" s="210"/>
      <c r="S32" s="210"/>
      <c r="T32" s="210"/>
      <c r="U32" s="210"/>
      <c r="V32" s="210"/>
      <c r="W32" s="210"/>
      <c r="X32" s="210"/>
      <c r="Y32" s="210"/>
      <c r="Z32" s="210"/>
      <c r="AA32" s="210"/>
    </row>
    <row r="33" spans="1:54" ht="13.35" customHeight="1">
      <c r="A33" s="211" t="s">
        <v>1231</v>
      </c>
      <c r="B33" s="330">
        <f>AVERAGE(B19:B30)</f>
        <v>599.20000000000005</v>
      </c>
      <c r="C33" s="212">
        <f t="shared" ref="C33:I33" si="15">SUM(C19:C30)</f>
        <v>5532729.7200000007</v>
      </c>
      <c r="D33" s="213">
        <f t="shared" si="15"/>
        <v>3542515.9899999998</v>
      </c>
      <c r="E33" s="213">
        <f t="shared" si="15"/>
        <v>-476485</v>
      </c>
      <c r="F33" s="213">
        <f t="shared" si="15"/>
        <v>3066030.9899999998</v>
      </c>
      <c r="G33" s="213">
        <f t="shared" si="15"/>
        <v>1588785.41</v>
      </c>
      <c r="H33" s="213">
        <f t="shared" si="15"/>
        <v>4654816.4000000004</v>
      </c>
      <c r="I33" s="213">
        <f t="shared" si="15"/>
        <v>668593.80999999994</v>
      </c>
      <c r="J33" s="212">
        <f>SUM(J19:J30)</f>
        <v>5323410.209999999</v>
      </c>
      <c r="K33" s="331">
        <f>J33/C33</f>
        <v>0.96216704581766532</v>
      </c>
      <c r="L33" s="504">
        <f>SUM(L19:L30)</f>
        <v>151750</v>
      </c>
      <c r="M33" s="505"/>
      <c r="N33" s="505"/>
      <c r="O33" s="505"/>
      <c r="Q33" s="193"/>
      <c r="R33" s="210"/>
      <c r="S33" s="210"/>
      <c r="T33" s="210"/>
      <c r="U33" s="210"/>
      <c r="V33" s="210"/>
      <c r="W33" s="210"/>
      <c r="X33" s="210"/>
      <c r="Y33" s="210"/>
      <c r="Z33" s="210"/>
      <c r="AA33" s="210"/>
    </row>
    <row r="34" spans="1:54" ht="13.35" customHeight="1">
      <c r="A34" s="214" t="s">
        <v>1232</v>
      </c>
      <c r="B34" s="332">
        <f t="shared" ref="B34:I34" si="16">((LOOKUP($R$2,$Q$7:$Q$18,R7:R18)))</f>
        <v>556</v>
      </c>
      <c r="C34" s="215">
        <f t="shared" si="16"/>
        <v>4875986.45</v>
      </c>
      <c r="D34" s="216">
        <f t="shared" si="16"/>
        <v>2972086.42</v>
      </c>
      <c r="E34" s="216">
        <f t="shared" si="16"/>
        <v>0</v>
      </c>
      <c r="F34" s="216">
        <f t="shared" si="16"/>
        <v>2972086.42</v>
      </c>
      <c r="G34" s="216">
        <f t="shared" si="16"/>
        <v>1587483.3</v>
      </c>
      <c r="H34" s="216">
        <f t="shared" si="16"/>
        <v>4559569.72</v>
      </c>
      <c r="I34" s="216">
        <f t="shared" si="16"/>
        <v>442008.12</v>
      </c>
      <c r="J34" s="215">
        <f>((LOOKUP($R$2,$Q$7:$Q$18,AA7:AA18)))</f>
        <v>130250</v>
      </c>
      <c r="K34" s="333">
        <f>J34/C34</f>
        <v>2.6712543469024609E-2</v>
      </c>
      <c r="L34" s="506">
        <f>((LOOKUP($R$2,$Q$7:$Q$18,AB7:AB18)))</f>
        <v>0</v>
      </c>
      <c r="Q34" s="193"/>
      <c r="R34" s="210"/>
      <c r="S34" s="210"/>
      <c r="T34" s="210"/>
      <c r="U34" s="210"/>
      <c r="V34" s="210"/>
      <c r="W34" s="210"/>
      <c r="X34" s="210"/>
      <c r="Y34" s="210"/>
      <c r="Z34" s="210"/>
      <c r="AA34" s="210"/>
    </row>
    <row r="35" spans="1:54" ht="13.35" customHeight="1" thickBot="1">
      <c r="A35" s="217" t="s">
        <v>1233</v>
      </c>
      <c r="B35" s="218">
        <f>(B33/B34)-1</f>
        <v>7.7697841726618755E-2</v>
      </c>
      <c r="C35" s="219">
        <f>(C33/C34)-1</f>
        <v>0.13468931399511996</v>
      </c>
      <c r="D35" s="220">
        <f>(D33/D34)-1</f>
        <v>0.19192899848450562</v>
      </c>
      <c r="E35" s="220" t="s">
        <v>46</v>
      </c>
      <c r="F35" s="220">
        <f t="shared" ref="F35:K35" si="17">(F33/F34)-1</f>
        <v>3.1608963106799504E-2</v>
      </c>
      <c r="G35" s="220">
        <f t="shared" si="17"/>
        <v>8.2023540027154063E-4</v>
      </c>
      <c r="H35" s="220">
        <f t="shared" si="17"/>
        <v>2.0889400941104697E-2</v>
      </c>
      <c r="I35" s="220">
        <f t="shared" si="17"/>
        <v>0.51262789018446075</v>
      </c>
      <c r="J35" s="219">
        <f t="shared" si="17"/>
        <v>39.870711785028782</v>
      </c>
      <c r="K35" s="219">
        <f t="shared" si="17"/>
        <v>35.019297336226224</v>
      </c>
      <c r="L35" s="221" t="s">
        <v>46</v>
      </c>
      <c r="Q35" s="193"/>
      <c r="R35" s="210"/>
      <c r="S35" s="210"/>
      <c r="T35" s="210"/>
      <c r="U35" s="210"/>
      <c r="V35" s="210"/>
      <c r="W35" s="210"/>
      <c r="X35" s="210"/>
      <c r="Y35" s="210"/>
      <c r="Z35" s="210"/>
      <c r="AA35" s="210"/>
    </row>
    <row r="36" spans="1:54" ht="13.35" customHeight="1">
      <c r="A36" s="202"/>
      <c r="B36" s="207" t="s">
        <v>1234</v>
      </c>
      <c r="C36" s="204"/>
      <c r="D36" s="204"/>
      <c r="E36" s="204"/>
      <c r="F36" s="204"/>
      <c r="G36" s="191"/>
      <c r="H36" s="191"/>
      <c r="I36" s="191"/>
      <c r="J36" s="191"/>
      <c r="K36" s="191"/>
      <c r="L36" s="191"/>
      <c r="Q36" s="193"/>
      <c r="R36" s="210"/>
      <c r="S36" s="210"/>
      <c r="T36" s="210"/>
      <c r="U36" s="210"/>
      <c r="V36" s="210"/>
      <c r="W36" s="210"/>
      <c r="X36" s="210"/>
      <c r="Y36" s="210"/>
      <c r="Z36" s="210"/>
      <c r="AA36" s="210"/>
    </row>
    <row r="37" spans="1:54" ht="13.35" customHeight="1" thickBot="1">
      <c r="A37" s="206"/>
      <c r="B37" s="207"/>
      <c r="C37" s="204"/>
      <c r="D37" s="204"/>
      <c r="E37" s="204"/>
      <c r="F37" s="204"/>
      <c r="G37" s="191"/>
      <c r="H37" s="191"/>
      <c r="I37" s="191"/>
      <c r="J37" s="191"/>
      <c r="K37" s="191"/>
      <c r="L37" s="191"/>
      <c r="Q37" s="193"/>
      <c r="R37" s="210"/>
      <c r="S37" s="210"/>
      <c r="T37" s="210"/>
      <c r="U37" s="210"/>
      <c r="V37" s="210"/>
      <c r="W37" s="210"/>
      <c r="X37" s="210"/>
      <c r="Y37" s="210"/>
      <c r="Z37" s="210"/>
      <c r="AA37" s="210"/>
    </row>
    <row r="38" spans="1:54" ht="13.35" customHeight="1" thickBot="1">
      <c r="A38" s="222" t="s">
        <v>1235</v>
      </c>
      <c r="B38" s="334">
        <f>AVERAGE(B7:B18)</f>
        <v>564.33333333333337</v>
      </c>
      <c r="C38" s="223">
        <f t="shared" ref="C38:J38" si="18">SUM(C7:C18)</f>
        <v>11738245.029999999</v>
      </c>
      <c r="D38" s="224">
        <f t="shared" si="18"/>
        <v>7274800.0499999998</v>
      </c>
      <c r="E38" s="224">
        <f t="shared" si="18"/>
        <v>-1077129.44</v>
      </c>
      <c r="F38" s="224">
        <f t="shared" si="18"/>
        <v>6197670.6099999994</v>
      </c>
      <c r="G38" s="224">
        <f t="shared" si="18"/>
        <v>3856898.9800000004</v>
      </c>
      <c r="H38" s="224">
        <f t="shared" si="18"/>
        <v>10054569.59</v>
      </c>
      <c r="I38" s="224">
        <f t="shared" si="18"/>
        <v>1068126.7199999997</v>
      </c>
      <c r="J38" s="223">
        <f t="shared" si="18"/>
        <v>11122696.310000001</v>
      </c>
      <c r="K38" s="225">
        <f>J38/C38</f>
        <v>0.94756041312591355</v>
      </c>
      <c r="L38" s="507">
        <f>SUM(L7:L18)</f>
        <v>320250</v>
      </c>
      <c r="Q38" s="193"/>
      <c r="R38" s="210"/>
      <c r="S38" s="210"/>
      <c r="T38" s="210"/>
      <c r="U38" s="210"/>
      <c r="V38" s="210"/>
      <c r="W38" s="210"/>
      <c r="X38" s="210"/>
      <c r="Y38" s="210"/>
      <c r="Z38" s="210"/>
      <c r="AA38" s="210"/>
    </row>
    <row r="39" spans="1:54" ht="13.35" customHeight="1">
      <c r="A39" s="226"/>
      <c r="B39" s="207" t="s">
        <v>1234</v>
      </c>
      <c r="C39" s="208"/>
      <c r="D39" s="208"/>
      <c r="E39" s="208"/>
      <c r="F39" s="208"/>
      <c r="G39" s="208"/>
      <c r="H39" s="208"/>
      <c r="I39" s="208"/>
      <c r="J39" s="208"/>
      <c r="K39" s="209"/>
      <c r="L39" s="208"/>
      <c r="Q39" s="193"/>
      <c r="R39" s="210"/>
      <c r="S39" s="210"/>
      <c r="T39" s="210"/>
      <c r="U39" s="210"/>
      <c r="V39" s="210"/>
      <c r="W39" s="210"/>
      <c r="X39" s="210"/>
      <c r="Y39" s="210"/>
      <c r="Z39" s="210"/>
      <c r="AA39" s="210"/>
    </row>
    <row r="40" spans="1:54" ht="13.35" customHeight="1">
      <c r="A40" s="226"/>
      <c r="B40" s="207"/>
      <c r="C40" s="208"/>
      <c r="D40" s="208"/>
      <c r="E40" s="208"/>
      <c r="F40" s="208"/>
      <c r="G40" s="208"/>
      <c r="H40" s="208"/>
      <c r="I40" s="208"/>
      <c r="J40" s="208"/>
      <c r="K40" s="209"/>
      <c r="L40" s="208"/>
      <c r="Q40" s="193"/>
      <c r="R40" s="210"/>
      <c r="S40" s="210"/>
      <c r="T40" s="210"/>
      <c r="U40" s="210"/>
      <c r="V40" s="210"/>
      <c r="W40" s="210"/>
      <c r="X40" s="210"/>
      <c r="Y40" s="210"/>
      <c r="Z40" s="210"/>
      <c r="AA40" s="210"/>
    </row>
    <row r="41" spans="1:54" ht="13.35" customHeight="1" thickBot="1">
      <c r="A41" s="227" t="s">
        <v>1236</v>
      </c>
      <c r="B41" s="207"/>
      <c r="C41" s="208"/>
      <c r="D41" s="208"/>
      <c r="E41" s="208"/>
      <c r="F41" s="208"/>
      <c r="G41" s="208"/>
      <c r="H41" s="208"/>
      <c r="I41" s="208"/>
      <c r="J41" s="208"/>
      <c r="K41" s="209"/>
      <c r="L41" s="208"/>
      <c r="Q41" s="193"/>
      <c r="R41" s="210"/>
      <c r="S41" s="210"/>
      <c r="T41" s="210"/>
      <c r="U41" s="210"/>
      <c r="V41" s="210"/>
      <c r="W41" s="210"/>
      <c r="X41" s="210"/>
      <c r="Y41" s="210"/>
      <c r="Z41" s="210"/>
      <c r="AA41" s="210"/>
    </row>
    <row r="42" spans="1:54" s="231" customFormat="1" ht="13.35" customHeight="1">
      <c r="A42" s="228" t="s">
        <v>1237</v>
      </c>
      <c r="B42" s="335">
        <f ca="1">AVERAGE(OFFSET(B7,COUNT(B8:B30),0,-3))</f>
        <v>598.33333333333337</v>
      </c>
      <c r="C42" s="229">
        <f t="shared" ref="C42:J42" ca="1" si="19">SUM(OFFSET(C7,COUNT(C8:C30),0,-3))</f>
        <v>3304679.6100000003</v>
      </c>
      <c r="D42" s="230">
        <f t="shared" ca="1" si="19"/>
        <v>2312949.19</v>
      </c>
      <c r="E42" s="230">
        <f t="shared" ca="1" si="19"/>
        <v>-476485</v>
      </c>
      <c r="F42" s="230">
        <f t="shared" ca="1" si="19"/>
        <v>1836464.19</v>
      </c>
      <c r="G42" s="230">
        <f t="shared" ca="1" si="19"/>
        <v>971749.06</v>
      </c>
      <c r="H42" s="230">
        <f t="shared" ca="1" si="19"/>
        <v>2808213.25</v>
      </c>
      <c r="I42" s="230">
        <f t="shared" ca="1" si="19"/>
        <v>398848.69999999995</v>
      </c>
      <c r="J42" s="229">
        <f t="shared" ca="1" si="19"/>
        <v>3207061.95</v>
      </c>
      <c r="K42" s="595">
        <f ca="1">J42/C42</f>
        <v>0.97046077940366504</v>
      </c>
      <c r="L42" s="508">
        <f ca="1">SUM(OFFSET(L7,COUNT(L8:L30),0,-3))</f>
        <v>91125</v>
      </c>
      <c r="Q42" s="193"/>
      <c r="R42" s="210"/>
      <c r="S42" s="210"/>
      <c r="T42" s="210"/>
      <c r="U42" s="210"/>
      <c r="V42" s="210"/>
      <c r="W42" s="210"/>
      <c r="X42" s="210"/>
      <c r="Y42" s="210"/>
      <c r="Z42" s="210"/>
      <c r="AA42" s="210"/>
    </row>
    <row r="43" spans="1:54" ht="13.35" customHeight="1">
      <c r="A43" s="232" t="s">
        <v>1238</v>
      </c>
      <c r="B43" s="271">
        <f ca="1">AVERAGE(OFFSET(B7,COUNT(B8:B30),0,-6))</f>
        <v>596.16666666666663</v>
      </c>
      <c r="C43" s="233">
        <f t="shared" ref="C43:J43" ca="1" si="20">SUM(OFFSET(C7,COUNT(C8:C30),0,-6))</f>
        <v>6525051.5700000003</v>
      </c>
      <c r="D43" s="234">
        <f t="shared" ca="1" si="20"/>
        <v>4126001.28</v>
      </c>
      <c r="E43" s="235">
        <f t="shared" ca="1" si="20"/>
        <v>-670452</v>
      </c>
      <c r="F43" s="236">
        <f t="shared" ca="1" si="20"/>
        <v>3455549.28</v>
      </c>
      <c r="G43" s="236">
        <f t="shared" ca="1" si="20"/>
        <v>1942323.4200000002</v>
      </c>
      <c r="H43" s="236">
        <f t="shared" ca="1" si="20"/>
        <v>5397872.7000000002</v>
      </c>
      <c r="I43" s="236">
        <f t="shared" ca="1" si="20"/>
        <v>759327.46</v>
      </c>
      <c r="J43" s="233">
        <f t="shared" ca="1" si="20"/>
        <v>6157200.1599999992</v>
      </c>
      <c r="K43" s="596">
        <f ca="1">J43/C43</f>
        <v>0.94362475053971084</v>
      </c>
      <c r="L43" s="509">
        <f ca="1">SUM(OFFSET(L7,COUNT(L8:L30),0,-6))</f>
        <v>179250</v>
      </c>
      <c r="Q43" s="193"/>
      <c r="R43" s="210"/>
      <c r="S43" s="210"/>
      <c r="T43" s="210"/>
      <c r="U43" s="210"/>
      <c r="V43" s="210"/>
      <c r="W43" s="210"/>
      <c r="X43" s="210"/>
      <c r="Y43" s="210"/>
      <c r="Z43" s="210"/>
      <c r="AA43" s="210"/>
    </row>
    <row r="44" spans="1:54" ht="13.35" customHeight="1" thickBot="1">
      <c r="A44" s="238" t="s">
        <v>1239</v>
      </c>
      <c r="B44" s="239">
        <f ca="1">AVERAGE(OFFSET(B7,COUNT(B8:B30),0,-12))</f>
        <v>582.33333333333337</v>
      </c>
      <c r="C44" s="240">
        <f t="shared" ref="C44:J44" ca="1" si="21">SUM(OFFSET(C7,COUNT(C8:C30),0,-12))</f>
        <v>12394988.299999999</v>
      </c>
      <c r="D44" s="241">
        <f t="shared" ca="1" si="21"/>
        <v>7845229.6199999992</v>
      </c>
      <c r="E44" s="242">
        <f t="shared" ca="1" si="21"/>
        <v>-1553614.44</v>
      </c>
      <c r="F44" s="243">
        <f t="shared" ca="1" si="21"/>
        <v>6291615.1799999997</v>
      </c>
      <c r="G44" s="243">
        <f t="shared" ca="1" si="21"/>
        <v>3858201.0899999994</v>
      </c>
      <c r="H44" s="243">
        <f t="shared" ca="1" si="21"/>
        <v>10149816.27</v>
      </c>
      <c r="I44" s="243">
        <f t="shared" ca="1" si="21"/>
        <v>1294712.4099999999</v>
      </c>
      <c r="J44" s="240">
        <f t="shared" ca="1" si="21"/>
        <v>11444528.68</v>
      </c>
      <c r="K44" s="597">
        <f ca="1">J44/C44</f>
        <v>0.92331903855044384</v>
      </c>
      <c r="L44" s="510">
        <f ca="1">SUM(OFFSET(L7,COUNT(L8:L30),0,-12))</f>
        <v>341750</v>
      </c>
      <c r="Q44" s="193"/>
      <c r="R44" s="210"/>
      <c r="S44" s="210"/>
      <c r="T44" s="210"/>
      <c r="U44" s="210"/>
      <c r="V44" s="210"/>
      <c r="W44" s="210"/>
      <c r="X44" s="210"/>
      <c r="Y44" s="210"/>
      <c r="Z44" s="210"/>
      <c r="AA44" s="210"/>
    </row>
    <row r="45" spans="1:54" ht="13.35" customHeight="1">
      <c r="A45" s="202"/>
      <c r="B45" s="207" t="s">
        <v>1234</v>
      </c>
      <c r="C45" s="204"/>
      <c r="D45" s="244"/>
      <c r="E45" s="204"/>
      <c r="F45" s="204"/>
      <c r="G45" s="191"/>
      <c r="H45" s="191"/>
      <c r="I45" s="191"/>
      <c r="J45" s="191"/>
      <c r="K45" s="191"/>
      <c r="L45" s="191"/>
      <c r="Q45" s="193"/>
      <c r="R45" s="210"/>
      <c r="S45" s="210"/>
      <c r="T45" s="210"/>
      <c r="U45" s="210"/>
      <c r="V45" s="210"/>
      <c r="W45" s="210"/>
      <c r="X45" s="210"/>
      <c r="Y45" s="210"/>
      <c r="Z45" s="210"/>
      <c r="AA45" s="210"/>
    </row>
    <row r="46" spans="1:54" s="247" customFormat="1" ht="15.75" customHeight="1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</row>
    <row r="47" spans="1:54" ht="15.75" customHeight="1">
      <c r="A47" s="202"/>
    </row>
    <row r="48" spans="1:54" ht="15.75" customHeight="1">
      <c r="Q48" s="205"/>
      <c r="R48" s="205"/>
      <c r="S48" s="205"/>
      <c r="T48" s="136"/>
    </row>
    <row r="49" spans="13:22" ht="15.75" customHeight="1">
      <c r="R49" s="205"/>
      <c r="S49" s="249"/>
      <c r="T49" s="250"/>
      <c r="U49" s="251"/>
    </row>
    <row r="50" spans="13:22" ht="15.75" customHeight="1">
      <c r="R50" s="205"/>
      <c r="S50" s="249"/>
      <c r="T50" s="250"/>
      <c r="U50" s="251"/>
    </row>
    <row r="51" spans="13:22">
      <c r="R51" s="205"/>
      <c r="S51" s="179"/>
      <c r="T51" s="136"/>
      <c r="U51" s="251"/>
      <c r="V51" s="251"/>
    </row>
    <row r="52" spans="13:22">
      <c r="M52" s="251"/>
      <c r="N52" s="251"/>
      <c r="O52" s="251"/>
      <c r="P52" s="251"/>
    </row>
    <row r="53" spans="13:22">
      <c r="S53" s="253"/>
    </row>
    <row r="54" spans="13:22">
      <c r="S54" s="253"/>
    </row>
    <row r="55" spans="13:22">
      <c r="S55" s="253"/>
    </row>
    <row r="56" spans="13:22">
      <c r="S56" s="253"/>
    </row>
    <row r="57" spans="13:22">
      <c r="S57" s="254"/>
    </row>
    <row r="58" spans="13:22">
      <c r="S58" s="253"/>
    </row>
  </sheetData>
  <mergeCells count="4">
    <mergeCell ref="M7:M9"/>
    <mergeCell ref="A1:L1"/>
    <mergeCell ref="A2:L2"/>
    <mergeCell ref="A3:L3"/>
  </mergeCells>
  <printOptions horizontalCentered="1"/>
  <pageMargins left="0.25" right="0.25" top="0.5" bottom="0.25" header="0.5" footer="0.15"/>
  <pageSetup scale="60" orientation="landscape" useFirstPageNumber="1" r:id="rId1"/>
  <headerFooter scaleWithDoc="0" alignWithMargins="0">
    <oddFooter>&amp;C
&amp;"Times New Roman,Regular"
&amp;"Arial,Regular"&amp;P&amp;R&amp;"Times New Roman,Regular"                &amp;"Arial,Regular"            Davidson Benefits Planning - An Alera Group Company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BC510-0CDB-436D-AAB4-7AE6F0E0FE6B}">
  <sheetPr>
    <tabColor theme="3" tint="-0.249977111117893"/>
    <pageSetUpPr fitToPage="1"/>
  </sheetPr>
  <dimension ref="A1:AZ58"/>
  <sheetViews>
    <sheetView showGridLines="0" topLeftCell="A13" zoomScale="90" zoomScaleNormal="90" zoomScaleSheetLayoutView="85" workbookViewId="0">
      <selection sqref="A1:L1"/>
    </sheetView>
  </sheetViews>
  <sheetFormatPr defaultColWidth="9.33203125" defaultRowHeight="12.75"/>
  <cols>
    <col min="1" max="1" width="21.77734375" style="125" customWidth="1"/>
    <col min="2" max="12" width="14.109375" style="125" customWidth="1"/>
    <col min="13" max="13" width="16.109375" style="125" customWidth="1"/>
    <col min="14" max="15" width="9.33203125" style="125" customWidth="1"/>
    <col min="16" max="25" width="12.6640625" style="125" customWidth="1"/>
    <col min="26" max="16384" width="9.33203125" style="125"/>
  </cols>
  <sheetData>
    <row r="1" spans="1:42" ht="25.35" customHeight="1">
      <c r="A1" s="1153" t="s">
        <v>1189</v>
      </c>
      <c r="B1" s="1153"/>
      <c r="C1" s="1153"/>
      <c r="D1" s="1153"/>
      <c r="E1" s="1153"/>
      <c r="F1" s="1153"/>
      <c r="G1" s="1153"/>
      <c r="H1" s="1153"/>
      <c r="I1" s="1153"/>
      <c r="J1" s="1153"/>
      <c r="K1" s="1153"/>
      <c r="L1" s="1153"/>
      <c r="N1" s="126"/>
      <c r="O1" s="126"/>
      <c r="P1" s="127" t="s">
        <v>61</v>
      </c>
      <c r="Q1" s="126"/>
      <c r="R1" s="126"/>
      <c r="S1" s="126"/>
      <c r="T1" s="126"/>
      <c r="U1" s="126"/>
      <c r="V1" s="126"/>
      <c r="W1" s="126"/>
      <c r="X1" s="126"/>
      <c r="Y1" s="126"/>
    </row>
    <row r="2" spans="1:42" s="128" customFormat="1" ht="14.25" customHeight="1">
      <c r="A2" s="1154" t="s">
        <v>1190</v>
      </c>
      <c r="B2" s="1154"/>
      <c r="C2" s="1154"/>
      <c r="D2" s="1154"/>
      <c r="E2" s="1154"/>
      <c r="F2" s="1154"/>
      <c r="G2" s="1154"/>
      <c r="H2" s="1154"/>
      <c r="I2" s="1154"/>
      <c r="J2" s="1154"/>
      <c r="K2" s="1154"/>
      <c r="L2" s="1154"/>
      <c r="N2" s="129"/>
      <c r="O2" s="129"/>
      <c r="P2" s="127">
        <f>COUNT(B19:B30)</f>
        <v>5</v>
      </c>
      <c r="Q2" s="129"/>
      <c r="R2" s="129"/>
      <c r="S2" s="129"/>
      <c r="T2" s="129"/>
      <c r="U2" s="129"/>
      <c r="V2" s="129"/>
      <c r="W2" s="129"/>
      <c r="X2" s="129"/>
      <c r="Y2" s="129"/>
    </row>
    <row r="3" spans="1:42" s="128" customFormat="1" ht="14.25" customHeight="1">
      <c r="A3" s="1154" t="s">
        <v>1240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4"/>
      <c r="L3" s="1154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1:42" s="128" customFormat="1" ht="33" customHeigh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1"/>
      <c r="N4" s="132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1:42" ht="15.75" customHeight="1" thickBot="1">
      <c r="A5" s="133"/>
      <c r="B5" s="134" t="s">
        <v>1192</v>
      </c>
      <c r="C5" s="135" t="s">
        <v>1193</v>
      </c>
      <c r="D5" s="135" t="s">
        <v>1194</v>
      </c>
      <c r="E5" s="135" t="s">
        <v>1195</v>
      </c>
      <c r="F5" s="135" t="s">
        <v>1196</v>
      </c>
      <c r="G5" s="135" t="s">
        <v>1197</v>
      </c>
      <c r="H5" s="135" t="s">
        <v>1198</v>
      </c>
      <c r="I5" s="135" t="s">
        <v>1199</v>
      </c>
      <c r="J5" s="135" t="s">
        <v>1200</v>
      </c>
      <c r="K5" s="135" t="s">
        <v>1201</v>
      </c>
      <c r="L5" s="135" t="s">
        <v>1202</v>
      </c>
      <c r="M5" s="136"/>
      <c r="N5" s="137"/>
      <c r="O5" s="126"/>
      <c r="P5" s="138"/>
      <c r="Q5" s="138"/>
      <c r="R5" s="126"/>
      <c r="S5" s="126"/>
      <c r="T5" s="126"/>
      <c r="U5" s="126"/>
      <c r="V5" s="126"/>
      <c r="W5" s="126"/>
      <c r="X5" s="126"/>
      <c r="Y5" s="126"/>
    </row>
    <row r="6" spans="1:42" s="154" customFormat="1" ht="56.85" customHeight="1" thickBot="1">
      <c r="A6" s="139" t="s">
        <v>1203</v>
      </c>
      <c r="B6" s="140" t="s">
        <v>1204</v>
      </c>
      <c r="C6" s="141" t="s">
        <v>1205</v>
      </c>
      <c r="D6" s="142" t="s">
        <v>1206</v>
      </c>
      <c r="E6" s="140" t="s">
        <v>1207</v>
      </c>
      <c r="F6" s="143" t="s">
        <v>1208</v>
      </c>
      <c r="G6" s="140" t="s">
        <v>1209</v>
      </c>
      <c r="H6" s="140" t="s">
        <v>1210</v>
      </c>
      <c r="I6" s="140" t="s">
        <v>1211</v>
      </c>
      <c r="J6" s="141" t="s">
        <v>1212</v>
      </c>
      <c r="K6" s="144" t="s">
        <v>1213</v>
      </c>
      <c r="L6" s="145" t="s">
        <v>1214</v>
      </c>
      <c r="M6" s="146"/>
      <c r="N6" s="147"/>
      <c r="O6" s="148"/>
      <c r="P6" s="149" t="str">
        <f t="shared" ref="P6:X7" si="0">B6</f>
        <v>Number of Enrolled Employees</v>
      </c>
      <c r="Q6" s="150" t="str">
        <f t="shared" si="0"/>
        <v>Total Funding</v>
      </c>
      <c r="R6" s="151" t="str">
        <f t="shared" si="0"/>
        <v>Gross Medical Paid Claims</v>
      </c>
      <c r="S6" s="150" t="str">
        <f t="shared" si="0"/>
        <v>Claims in Excess of $275,000</v>
      </c>
      <c r="T6" s="152" t="str">
        <f t="shared" si="0"/>
        <v>Net Medical 
Paid Claims</v>
      </c>
      <c r="U6" s="150" t="str">
        <f t="shared" si="0"/>
        <v>Rx
Paid Claims</v>
      </c>
      <c r="V6" s="150" t="str">
        <f t="shared" si="0"/>
        <v>Total Net
Paid Claims</v>
      </c>
      <c r="W6" s="152" t="str">
        <f t="shared" si="0"/>
        <v>Fixed
Expenses</v>
      </c>
      <c r="X6" s="150" t="str">
        <f t="shared" si="0"/>
        <v>Net Expenses
(g + h)</v>
      </c>
      <c r="Y6" s="310" t="str">
        <f>L6</f>
        <v>Employer HSA
Contributions</v>
      </c>
      <c r="Z6" s="153"/>
      <c r="AA6" s="153"/>
      <c r="AB6" s="153"/>
      <c r="AC6" s="153"/>
      <c r="AD6" s="153"/>
      <c r="AE6" s="153"/>
      <c r="AF6" s="153"/>
      <c r="AH6" s="153"/>
      <c r="AJ6" s="125"/>
      <c r="AK6" s="125"/>
      <c r="AN6" s="153"/>
      <c r="AO6" s="153"/>
      <c r="AP6" s="153"/>
    </row>
    <row r="7" spans="1:42" ht="14.85" customHeight="1">
      <c r="A7" s="155" t="s">
        <v>1217</v>
      </c>
      <c r="B7" s="311">
        <v>558</v>
      </c>
      <c r="C7" s="312">
        <v>1747.8935483870969</v>
      </c>
      <c r="D7" s="156">
        <v>1198.2729032258064</v>
      </c>
      <c r="E7" s="157">
        <v>0</v>
      </c>
      <c r="F7" s="156">
        <v>1198.2729032258064</v>
      </c>
      <c r="G7" s="313">
        <v>649.42949820788533</v>
      </c>
      <c r="H7" s="158">
        <v>1847.7024014336919</v>
      </c>
      <c r="I7" s="158">
        <v>158.55496415770611</v>
      </c>
      <c r="J7" s="312">
        <f>SUM(H7:I7)</f>
        <v>2006.257365591398</v>
      </c>
      <c r="K7" s="314">
        <f t="shared" ref="K7:K23" si="1">+J7/C7</f>
        <v>1.1478143891787411</v>
      </c>
      <c r="L7" s="492">
        <v>45.250896057347667</v>
      </c>
      <c r="M7" s="494"/>
      <c r="N7" s="160" t="s">
        <v>1218</v>
      </c>
      <c r="O7" s="127">
        <v>1</v>
      </c>
      <c r="P7" s="161">
        <f t="shared" si="0"/>
        <v>558</v>
      </c>
      <c r="Q7" s="162">
        <f t="shared" si="0"/>
        <v>1747.8935483870969</v>
      </c>
      <c r="R7" s="315">
        <f t="shared" si="0"/>
        <v>1198.2729032258064</v>
      </c>
      <c r="S7" s="316">
        <f t="shared" si="0"/>
        <v>0</v>
      </c>
      <c r="T7" s="316">
        <f t="shared" si="0"/>
        <v>1198.2729032258064</v>
      </c>
      <c r="U7" s="163">
        <f t="shared" si="0"/>
        <v>649.42949820788533</v>
      </c>
      <c r="V7" s="163">
        <f t="shared" si="0"/>
        <v>1847.7024014336919</v>
      </c>
      <c r="W7" s="164">
        <f t="shared" si="0"/>
        <v>158.55496415770611</v>
      </c>
      <c r="X7" s="165">
        <f t="shared" si="0"/>
        <v>2006.257365591398</v>
      </c>
      <c r="Y7" s="345">
        <f>L7</f>
        <v>45.250896057347667</v>
      </c>
      <c r="AJ7" s="166"/>
      <c r="AK7" s="166"/>
      <c r="AL7" s="167"/>
      <c r="AM7" s="167"/>
    </row>
    <row r="8" spans="1:42" ht="14.85" customHeight="1">
      <c r="A8" s="168" t="s">
        <v>1219</v>
      </c>
      <c r="B8" s="311">
        <v>554</v>
      </c>
      <c r="C8" s="169">
        <v>1756.7864440433214</v>
      </c>
      <c r="D8" s="170">
        <v>997.37499999999977</v>
      </c>
      <c r="E8" s="171">
        <v>0</v>
      </c>
      <c r="F8" s="170">
        <v>997.37499999999977</v>
      </c>
      <c r="G8" s="172">
        <v>436.6543321299639</v>
      </c>
      <c r="H8" s="172">
        <v>1434.0293321299637</v>
      </c>
      <c r="I8" s="172">
        <v>159.39624548736464</v>
      </c>
      <c r="J8" s="169">
        <f t="shared" ref="J8:J23" si="2">SUM(H8:I8)</f>
        <v>1593.4255776173284</v>
      </c>
      <c r="K8" s="314">
        <f t="shared" si="1"/>
        <v>0.90701153974639581</v>
      </c>
      <c r="L8" s="493">
        <v>46.931407942238266</v>
      </c>
      <c r="M8" s="494"/>
      <c r="N8" s="160" t="s">
        <v>1219</v>
      </c>
      <c r="O8" s="127">
        <v>2</v>
      </c>
      <c r="P8" s="161">
        <f>AVERAGE($B$7:B8)</f>
        <v>556</v>
      </c>
      <c r="Q8" s="174">
        <f t="shared" ref="Q8:X18" si="3">Q7+C8</f>
        <v>3504.6799924304182</v>
      </c>
      <c r="R8" s="175">
        <f t="shared" si="3"/>
        <v>2195.6479032258062</v>
      </c>
      <c r="S8" s="171">
        <f t="shared" si="3"/>
        <v>0</v>
      </c>
      <c r="T8" s="171">
        <f t="shared" si="3"/>
        <v>2195.6479032258062</v>
      </c>
      <c r="U8" s="176">
        <f t="shared" si="3"/>
        <v>1086.0838303378491</v>
      </c>
      <c r="V8" s="172">
        <f t="shared" si="3"/>
        <v>3281.7317335636553</v>
      </c>
      <c r="W8" s="177">
        <f t="shared" si="3"/>
        <v>317.95120964507078</v>
      </c>
      <c r="X8" s="178">
        <f t="shared" si="3"/>
        <v>3599.6829432087261</v>
      </c>
      <c r="Y8" s="495">
        <f t="shared" ref="Y8:Y18" si="4">Y7+L8</f>
        <v>92.18230399958594</v>
      </c>
      <c r="AJ8" s="166"/>
      <c r="AK8" s="166"/>
      <c r="AL8" s="167"/>
      <c r="AM8" s="167"/>
    </row>
    <row r="9" spans="1:42" ht="14.85" customHeight="1">
      <c r="A9" s="168" t="s">
        <v>1220</v>
      </c>
      <c r="B9" s="311">
        <v>556</v>
      </c>
      <c r="C9" s="169">
        <v>1753.8777697841726</v>
      </c>
      <c r="D9" s="170">
        <v>673.59221223021586</v>
      </c>
      <c r="E9" s="171">
        <v>0</v>
      </c>
      <c r="F9" s="170">
        <v>673.59221223021586</v>
      </c>
      <c r="G9" s="172">
        <v>595.04660071942442</v>
      </c>
      <c r="H9" s="172">
        <v>1268.6388129496402</v>
      </c>
      <c r="I9" s="172">
        <v>158.86591726618707</v>
      </c>
      <c r="J9" s="169">
        <f t="shared" si="2"/>
        <v>1427.5047302158273</v>
      </c>
      <c r="K9" s="314">
        <f t="shared" si="1"/>
        <v>0.81391346353143645</v>
      </c>
      <c r="L9" s="493">
        <v>47.21223021582734</v>
      </c>
      <c r="M9" s="494"/>
      <c r="N9" s="160" t="s">
        <v>1220</v>
      </c>
      <c r="O9" s="127">
        <v>3</v>
      </c>
      <c r="P9" s="161">
        <f>AVERAGE($B$7:B9)</f>
        <v>556</v>
      </c>
      <c r="Q9" s="174">
        <f t="shared" si="3"/>
        <v>5258.5577622145911</v>
      </c>
      <c r="R9" s="175">
        <f t="shared" si="3"/>
        <v>2869.2401154560221</v>
      </c>
      <c r="S9" s="171">
        <f t="shared" si="3"/>
        <v>0</v>
      </c>
      <c r="T9" s="171">
        <f t="shared" si="3"/>
        <v>2869.2401154560221</v>
      </c>
      <c r="U9" s="176">
        <f t="shared" si="3"/>
        <v>1681.1304310572737</v>
      </c>
      <c r="V9" s="172">
        <f t="shared" si="3"/>
        <v>4550.3705465132953</v>
      </c>
      <c r="W9" s="177">
        <f t="shared" si="3"/>
        <v>476.81712691125784</v>
      </c>
      <c r="X9" s="178">
        <f t="shared" si="3"/>
        <v>5027.1876734245534</v>
      </c>
      <c r="Y9" s="495">
        <f t="shared" si="4"/>
        <v>139.39453421541327</v>
      </c>
      <c r="AJ9" s="166"/>
      <c r="AK9" s="166"/>
      <c r="AL9" s="167"/>
      <c r="AM9" s="167"/>
    </row>
    <row r="10" spans="1:42" ht="14.85" customHeight="1">
      <c r="A10" s="168" t="s">
        <v>1221</v>
      </c>
      <c r="B10" s="311">
        <v>554</v>
      </c>
      <c r="C10" s="169">
        <v>1758.3040974729242</v>
      </c>
      <c r="D10" s="170">
        <v>805.50898916967515</v>
      </c>
      <c r="E10" s="171">
        <v>0</v>
      </c>
      <c r="F10" s="170">
        <v>805.50898916967515</v>
      </c>
      <c r="G10" s="172">
        <v>564.81404332129955</v>
      </c>
      <c r="H10" s="172">
        <v>1370.3230324909746</v>
      </c>
      <c r="I10" s="172">
        <v>159.1791155234657</v>
      </c>
      <c r="J10" s="169">
        <f t="shared" si="2"/>
        <v>1529.5021480144403</v>
      </c>
      <c r="K10" s="314">
        <f t="shared" si="1"/>
        <v>0.8698735049373294</v>
      </c>
      <c r="L10" s="493">
        <v>47.157039711191338</v>
      </c>
      <c r="M10" s="494"/>
      <c r="N10" s="160" t="s">
        <v>1221</v>
      </c>
      <c r="O10" s="127">
        <v>4</v>
      </c>
      <c r="P10" s="161">
        <f>AVERAGE($B$7:B10)</f>
        <v>555.5</v>
      </c>
      <c r="Q10" s="174">
        <f t="shared" si="3"/>
        <v>7016.8618596875149</v>
      </c>
      <c r="R10" s="175">
        <f t="shared" si="3"/>
        <v>3674.7491046256973</v>
      </c>
      <c r="S10" s="171">
        <f t="shared" si="3"/>
        <v>0</v>
      </c>
      <c r="T10" s="171">
        <f t="shared" si="3"/>
        <v>3674.7491046256973</v>
      </c>
      <c r="U10" s="176">
        <f t="shared" si="3"/>
        <v>2245.9444743785734</v>
      </c>
      <c r="V10" s="172">
        <f t="shared" si="3"/>
        <v>5920.6935790042698</v>
      </c>
      <c r="W10" s="177">
        <f t="shared" si="3"/>
        <v>635.99624243472351</v>
      </c>
      <c r="X10" s="178">
        <f t="shared" si="3"/>
        <v>6556.6898214389939</v>
      </c>
      <c r="Y10" s="495">
        <f t="shared" si="4"/>
        <v>186.55157392660462</v>
      </c>
      <c r="AJ10" s="166"/>
      <c r="AK10" s="166"/>
      <c r="AL10" s="167"/>
      <c r="AM10" s="167"/>
    </row>
    <row r="11" spans="1:42" ht="14.85" customHeight="1">
      <c r="A11" s="168" t="s">
        <v>1222</v>
      </c>
      <c r="B11" s="317">
        <v>558</v>
      </c>
      <c r="C11" s="169">
        <v>1752.949193548387</v>
      </c>
      <c r="D11" s="170">
        <v>1666.9088530465949</v>
      </c>
      <c r="E11" s="171">
        <v>0</v>
      </c>
      <c r="F11" s="170">
        <v>1666.9088530465949</v>
      </c>
      <c r="G11" s="172">
        <v>608.31944444444434</v>
      </c>
      <c r="H11" s="172">
        <v>2275.228297491039</v>
      </c>
      <c r="I11" s="172">
        <v>158.98611111111114</v>
      </c>
      <c r="J11" s="169">
        <f t="shared" si="2"/>
        <v>2434.2144086021503</v>
      </c>
      <c r="K11" s="314">
        <f t="shared" si="1"/>
        <v>1.3886394526213963</v>
      </c>
      <c r="L11" s="493">
        <v>47.715053763440864</v>
      </c>
      <c r="M11" s="494"/>
      <c r="N11" s="160" t="s">
        <v>1222</v>
      </c>
      <c r="O11" s="127">
        <v>5</v>
      </c>
      <c r="P11" s="161">
        <f>AVERAGE($B$7:B11)</f>
        <v>556</v>
      </c>
      <c r="Q11" s="174">
        <f t="shared" si="3"/>
        <v>8769.8110532359024</v>
      </c>
      <c r="R11" s="175">
        <f t="shared" si="3"/>
        <v>5341.6579576722925</v>
      </c>
      <c r="S11" s="171">
        <f t="shared" si="3"/>
        <v>0</v>
      </c>
      <c r="T11" s="171">
        <f t="shared" si="3"/>
        <v>5341.6579576722925</v>
      </c>
      <c r="U11" s="176">
        <f t="shared" si="3"/>
        <v>2854.2639188230178</v>
      </c>
      <c r="V11" s="172">
        <f t="shared" si="3"/>
        <v>8195.9218764953093</v>
      </c>
      <c r="W11" s="177">
        <f t="shared" si="3"/>
        <v>794.98235354583471</v>
      </c>
      <c r="X11" s="178">
        <f t="shared" si="3"/>
        <v>8990.9042300411438</v>
      </c>
      <c r="Y11" s="495">
        <f t="shared" si="4"/>
        <v>234.26662769004548</v>
      </c>
      <c r="AJ11" s="166"/>
      <c r="AK11" s="166"/>
      <c r="AL11" s="167"/>
      <c r="AM11" s="167"/>
    </row>
    <row r="12" spans="1:42" ht="14.85" customHeight="1">
      <c r="A12" s="155" t="s">
        <v>1223</v>
      </c>
      <c r="B12" s="311">
        <v>555</v>
      </c>
      <c r="C12" s="169">
        <v>1754.0148108108108</v>
      </c>
      <c r="D12" s="170">
        <v>886.02562162162167</v>
      </c>
      <c r="E12" s="171">
        <v>-108.59221621621622</v>
      </c>
      <c r="F12" s="170">
        <v>777.43340540540544</v>
      </c>
      <c r="G12" s="172">
        <v>604.62563963963964</v>
      </c>
      <c r="H12" s="172">
        <v>1382.059045045045</v>
      </c>
      <c r="I12" s="172">
        <v>159.02223423423425</v>
      </c>
      <c r="J12" s="169">
        <f t="shared" si="2"/>
        <v>1541.0812792792792</v>
      </c>
      <c r="K12" s="314">
        <f t="shared" si="1"/>
        <v>0.87860220437186565</v>
      </c>
      <c r="L12" s="493">
        <v>47.522522522522522</v>
      </c>
      <c r="M12" s="494"/>
      <c r="N12" s="160" t="s">
        <v>1223</v>
      </c>
      <c r="O12" s="127">
        <v>6</v>
      </c>
      <c r="P12" s="161">
        <f>AVERAGE($B$7:B12)</f>
        <v>555.83333333333337</v>
      </c>
      <c r="Q12" s="174">
        <f t="shared" si="3"/>
        <v>10523.825864046714</v>
      </c>
      <c r="R12" s="175">
        <f t="shared" si="3"/>
        <v>6227.6835792939146</v>
      </c>
      <c r="S12" s="171">
        <f t="shared" si="3"/>
        <v>-108.59221621621622</v>
      </c>
      <c r="T12" s="171">
        <f t="shared" si="3"/>
        <v>6119.0913630776977</v>
      </c>
      <c r="U12" s="176">
        <f t="shared" si="3"/>
        <v>3458.8895584626575</v>
      </c>
      <c r="V12" s="172">
        <f t="shared" si="3"/>
        <v>9577.9809215403548</v>
      </c>
      <c r="W12" s="177">
        <f t="shared" si="3"/>
        <v>954.00458778006896</v>
      </c>
      <c r="X12" s="178">
        <f t="shared" si="3"/>
        <v>10531.985509320422</v>
      </c>
      <c r="Y12" s="495">
        <f t="shared" si="4"/>
        <v>281.78915021256802</v>
      </c>
      <c r="AJ12" s="166"/>
      <c r="AK12" s="166"/>
      <c r="AL12" s="167"/>
      <c r="AM12" s="167"/>
    </row>
    <row r="13" spans="1:42" ht="14.85" customHeight="1">
      <c r="A13" s="168" t="s">
        <v>1224</v>
      </c>
      <c r="B13" s="311">
        <v>557</v>
      </c>
      <c r="C13" s="169">
        <v>1741.5284021543982</v>
      </c>
      <c r="D13" s="170">
        <v>939.66531418312377</v>
      </c>
      <c r="E13" s="171">
        <v>-237.35906642728904</v>
      </c>
      <c r="F13" s="170">
        <v>702.30624775583476</v>
      </c>
      <c r="G13" s="172">
        <v>531.82518850987435</v>
      </c>
      <c r="H13" s="172">
        <v>1234.131436265709</v>
      </c>
      <c r="I13" s="172">
        <v>158.2782405745063</v>
      </c>
      <c r="J13" s="169">
        <f t="shared" si="2"/>
        <v>1392.4096768402153</v>
      </c>
      <c r="K13" s="314">
        <f t="shared" si="1"/>
        <v>0.79953314290924138</v>
      </c>
      <c r="L13" s="493">
        <v>47.351885098743267</v>
      </c>
      <c r="M13" s="494"/>
      <c r="N13" s="160" t="s">
        <v>1224</v>
      </c>
      <c r="O13" s="127">
        <v>7</v>
      </c>
      <c r="P13" s="161">
        <f>AVERAGE($B$7:B13)</f>
        <v>556</v>
      </c>
      <c r="Q13" s="174">
        <f t="shared" si="3"/>
        <v>12265.354266201111</v>
      </c>
      <c r="R13" s="175">
        <f t="shared" si="3"/>
        <v>7167.3488934770385</v>
      </c>
      <c r="S13" s="171">
        <f t="shared" si="3"/>
        <v>-345.95128264350524</v>
      </c>
      <c r="T13" s="171">
        <f t="shared" si="3"/>
        <v>6821.3976108335328</v>
      </c>
      <c r="U13" s="176">
        <f t="shared" si="3"/>
        <v>3990.7147469725319</v>
      </c>
      <c r="V13" s="172">
        <f t="shared" si="3"/>
        <v>10812.112357806063</v>
      </c>
      <c r="W13" s="177">
        <f t="shared" si="3"/>
        <v>1112.2828283545753</v>
      </c>
      <c r="X13" s="178">
        <f t="shared" si="3"/>
        <v>11924.395186160638</v>
      </c>
      <c r="Y13" s="495">
        <f t="shared" si="4"/>
        <v>329.14103531131127</v>
      </c>
      <c r="AJ13" s="166"/>
      <c r="AK13" s="166"/>
      <c r="AL13" s="167"/>
      <c r="AM13" s="167"/>
    </row>
    <row r="14" spans="1:42" ht="14.85" customHeight="1">
      <c r="A14" s="168" t="s">
        <v>1225</v>
      </c>
      <c r="B14" s="311">
        <v>568</v>
      </c>
      <c r="C14" s="169">
        <v>1727.1382218309859</v>
      </c>
      <c r="D14" s="170">
        <v>1225.4279753521128</v>
      </c>
      <c r="E14" s="171">
        <v>-267.34683098591552</v>
      </c>
      <c r="F14" s="170">
        <v>958.08114436619735</v>
      </c>
      <c r="G14" s="172">
        <v>517.36610915492963</v>
      </c>
      <c r="H14" s="172">
        <v>1475.4472535211269</v>
      </c>
      <c r="I14" s="172">
        <v>157.45660211267608</v>
      </c>
      <c r="J14" s="169">
        <f t="shared" si="2"/>
        <v>1632.903855633803</v>
      </c>
      <c r="K14" s="314">
        <f t="shared" si="1"/>
        <v>0.94543901292550725</v>
      </c>
      <c r="L14" s="493">
        <v>47.975352112676056</v>
      </c>
      <c r="M14" s="494"/>
      <c r="N14" s="160" t="s">
        <v>1225</v>
      </c>
      <c r="O14" s="127">
        <v>8</v>
      </c>
      <c r="P14" s="161">
        <f>AVERAGE($B$7:B14)</f>
        <v>557.5</v>
      </c>
      <c r="Q14" s="174">
        <f t="shared" si="3"/>
        <v>13992.492488032098</v>
      </c>
      <c r="R14" s="175">
        <f t="shared" si="3"/>
        <v>8392.7768688291508</v>
      </c>
      <c r="S14" s="171">
        <f t="shared" si="3"/>
        <v>-613.29811362942075</v>
      </c>
      <c r="T14" s="171">
        <f t="shared" si="3"/>
        <v>7779.4787551997306</v>
      </c>
      <c r="U14" s="176">
        <f t="shared" si="3"/>
        <v>4508.0808561274616</v>
      </c>
      <c r="V14" s="172">
        <f t="shared" si="3"/>
        <v>12287.559611327189</v>
      </c>
      <c r="W14" s="177">
        <f t="shared" si="3"/>
        <v>1269.7394304672514</v>
      </c>
      <c r="X14" s="178">
        <f t="shared" si="3"/>
        <v>13557.299041794442</v>
      </c>
      <c r="Y14" s="495">
        <f t="shared" si="4"/>
        <v>377.11638742398731</v>
      </c>
      <c r="AJ14" s="166"/>
      <c r="AK14" s="166"/>
      <c r="AL14" s="167"/>
      <c r="AM14" s="167"/>
    </row>
    <row r="15" spans="1:42" ht="14.85" customHeight="1">
      <c r="A15" s="168" t="s">
        <v>1226</v>
      </c>
      <c r="B15" s="311">
        <v>576</v>
      </c>
      <c r="C15" s="169">
        <v>1717.1785243055556</v>
      </c>
      <c r="D15" s="170">
        <v>1014.3111979166666</v>
      </c>
      <c r="E15" s="171">
        <v>-399.46180555555554</v>
      </c>
      <c r="F15" s="170">
        <v>614.84939236111109</v>
      </c>
      <c r="G15" s="172">
        <v>593.64861111111122</v>
      </c>
      <c r="H15" s="172">
        <v>1208.4980034722223</v>
      </c>
      <c r="I15" s="172">
        <v>156.89774305555557</v>
      </c>
      <c r="J15" s="169">
        <f t="shared" si="2"/>
        <v>1365.3957465277779</v>
      </c>
      <c r="K15" s="314">
        <f t="shared" si="1"/>
        <v>0.79513907680621487</v>
      </c>
      <c r="L15" s="493">
        <v>48.611111111111114</v>
      </c>
      <c r="M15" s="179"/>
      <c r="N15" s="160" t="s">
        <v>1226</v>
      </c>
      <c r="O15" s="127">
        <v>9</v>
      </c>
      <c r="P15" s="161">
        <f>AVERAGE($B$7:B15)</f>
        <v>559.55555555555554</v>
      </c>
      <c r="Q15" s="174">
        <f t="shared" si="3"/>
        <v>15709.671012337654</v>
      </c>
      <c r="R15" s="175">
        <f t="shared" si="3"/>
        <v>9407.0880667458168</v>
      </c>
      <c r="S15" s="171">
        <f t="shared" si="3"/>
        <v>-1012.7599191849763</v>
      </c>
      <c r="T15" s="171">
        <f t="shared" si="3"/>
        <v>8394.3281475608419</v>
      </c>
      <c r="U15" s="176">
        <f t="shared" si="3"/>
        <v>5101.7294672385724</v>
      </c>
      <c r="V15" s="172">
        <f t="shared" si="3"/>
        <v>13496.057614799412</v>
      </c>
      <c r="W15" s="177">
        <f t="shared" si="3"/>
        <v>1426.637173522807</v>
      </c>
      <c r="X15" s="178">
        <f t="shared" si="3"/>
        <v>14922.69478832222</v>
      </c>
      <c r="Y15" s="495">
        <f t="shared" si="4"/>
        <v>425.72749853509845</v>
      </c>
      <c r="AJ15" s="166"/>
      <c r="AK15" s="166"/>
      <c r="AL15" s="167"/>
      <c r="AM15" s="167"/>
    </row>
    <row r="16" spans="1:42" ht="14.85" customHeight="1">
      <c r="A16" s="168" t="s">
        <v>1227</v>
      </c>
      <c r="B16" s="311">
        <v>577</v>
      </c>
      <c r="C16" s="169">
        <v>1680.2017850953205</v>
      </c>
      <c r="D16" s="170">
        <v>1254.8018890814558</v>
      </c>
      <c r="E16" s="171">
        <v>-301.31674176776431</v>
      </c>
      <c r="F16" s="170">
        <v>953.48514731369141</v>
      </c>
      <c r="G16" s="172">
        <v>635.267487001733</v>
      </c>
      <c r="H16" s="172">
        <v>1588.7526343154245</v>
      </c>
      <c r="I16" s="172">
        <v>154.04062391681109</v>
      </c>
      <c r="J16" s="169">
        <f t="shared" si="2"/>
        <v>1742.7932582322355</v>
      </c>
      <c r="K16" s="314">
        <f t="shared" si="1"/>
        <v>1.0372523548612729</v>
      </c>
      <c r="L16" s="493">
        <v>47.010398613518198</v>
      </c>
      <c r="M16" s="179"/>
      <c r="N16" s="160" t="s">
        <v>1227</v>
      </c>
      <c r="O16" s="127">
        <v>10</v>
      </c>
      <c r="P16" s="161">
        <f>AVERAGE($B$7:B16)</f>
        <v>561.29999999999995</v>
      </c>
      <c r="Q16" s="174">
        <f t="shared" si="3"/>
        <v>17389.872797432974</v>
      </c>
      <c r="R16" s="175">
        <f t="shared" si="3"/>
        <v>10661.889955827273</v>
      </c>
      <c r="S16" s="171">
        <f t="shared" si="3"/>
        <v>-1314.0766609527407</v>
      </c>
      <c r="T16" s="171">
        <f t="shared" si="3"/>
        <v>9347.8132948745333</v>
      </c>
      <c r="U16" s="176">
        <f t="shared" si="3"/>
        <v>5736.9969542403051</v>
      </c>
      <c r="V16" s="172">
        <f t="shared" si="3"/>
        <v>15084.810249114837</v>
      </c>
      <c r="W16" s="177">
        <f t="shared" si="3"/>
        <v>1580.677797439618</v>
      </c>
      <c r="X16" s="178">
        <f t="shared" si="3"/>
        <v>16665.488046554456</v>
      </c>
      <c r="Y16" s="495">
        <f t="shared" si="4"/>
        <v>472.73789714861664</v>
      </c>
      <c r="AJ16" s="166"/>
      <c r="AK16" s="166"/>
      <c r="AL16" s="167"/>
      <c r="AM16" s="167"/>
    </row>
    <row r="17" spans="1:39" ht="14.85" customHeight="1">
      <c r="A17" s="168" t="s">
        <v>1228</v>
      </c>
      <c r="B17" s="311">
        <v>578</v>
      </c>
      <c r="C17" s="169">
        <v>1707.3380968858132</v>
      </c>
      <c r="D17" s="318">
        <v>1210.6981141868512</v>
      </c>
      <c r="E17" s="171">
        <v>-233.35986159169551</v>
      </c>
      <c r="F17" s="170">
        <v>977.33825259515572</v>
      </c>
      <c r="G17" s="172">
        <v>487.42027681660886</v>
      </c>
      <c r="H17" s="172">
        <v>1464.7585294117646</v>
      </c>
      <c r="I17" s="172">
        <v>156.18813148788928</v>
      </c>
      <c r="J17" s="169">
        <f t="shared" si="2"/>
        <v>1620.9466608996538</v>
      </c>
      <c r="K17" s="314">
        <f t="shared" si="1"/>
        <v>0.94939992486330771</v>
      </c>
      <c r="L17" s="493">
        <v>47.36159169550173</v>
      </c>
      <c r="M17" s="179"/>
      <c r="N17" s="160" t="s">
        <v>1228</v>
      </c>
      <c r="O17" s="127">
        <v>11</v>
      </c>
      <c r="P17" s="161">
        <f>AVERAGE($B$7:B17)</f>
        <v>562.81818181818187</v>
      </c>
      <c r="Q17" s="174">
        <f t="shared" si="3"/>
        <v>19097.210894318789</v>
      </c>
      <c r="R17" s="175">
        <f t="shared" si="3"/>
        <v>11872.588070014124</v>
      </c>
      <c r="S17" s="171">
        <f t="shared" si="3"/>
        <v>-1547.4365225444362</v>
      </c>
      <c r="T17" s="171">
        <f t="shared" si="3"/>
        <v>10325.15154746969</v>
      </c>
      <c r="U17" s="176">
        <f t="shared" si="3"/>
        <v>6224.4172310569138</v>
      </c>
      <c r="V17" s="172">
        <f t="shared" si="3"/>
        <v>16549.568778526602</v>
      </c>
      <c r="W17" s="177">
        <f t="shared" si="3"/>
        <v>1736.8659289275072</v>
      </c>
      <c r="X17" s="178">
        <f t="shared" si="3"/>
        <v>18286.434707454111</v>
      </c>
      <c r="Y17" s="495">
        <f t="shared" si="4"/>
        <v>520.09948884411835</v>
      </c>
      <c r="AJ17" s="166"/>
      <c r="AK17" s="166"/>
      <c r="AL17" s="167"/>
      <c r="AM17" s="167"/>
    </row>
    <row r="18" spans="1:39" ht="14.85" customHeight="1" thickBot="1">
      <c r="A18" s="168" t="s">
        <v>1229</v>
      </c>
      <c r="B18" s="311">
        <v>581</v>
      </c>
      <c r="C18" s="173">
        <v>1707.954991394148</v>
      </c>
      <c r="D18" s="319">
        <v>1004.2776075731498</v>
      </c>
      <c r="E18" s="320">
        <v>-333.85025817555936</v>
      </c>
      <c r="F18" s="170">
        <v>670.42734939759043</v>
      </c>
      <c r="G18" s="180">
        <v>608.49915662650608</v>
      </c>
      <c r="H18" s="172">
        <v>1278.9265060240964</v>
      </c>
      <c r="I18" s="172">
        <v>156.16807228915664</v>
      </c>
      <c r="J18" s="169">
        <f t="shared" si="2"/>
        <v>1435.0945783132531</v>
      </c>
      <c r="K18" s="314">
        <f t="shared" si="1"/>
        <v>0.84024144988846117</v>
      </c>
      <c r="L18" s="493">
        <v>47.332185886402755</v>
      </c>
      <c r="M18" s="179"/>
      <c r="N18" s="160" t="s">
        <v>1229</v>
      </c>
      <c r="O18" s="127">
        <v>12</v>
      </c>
      <c r="P18" s="182">
        <f>AVERAGE($B$7:B18)</f>
        <v>564.33333333333337</v>
      </c>
      <c r="Q18" s="183">
        <f t="shared" si="3"/>
        <v>20805.165885712937</v>
      </c>
      <c r="R18" s="184">
        <f t="shared" si="3"/>
        <v>12876.865677587273</v>
      </c>
      <c r="S18" s="185">
        <f t="shared" si="3"/>
        <v>-1881.2867807199955</v>
      </c>
      <c r="T18" s="185">
        <f t="shared" si="3"/>
        <v>10995.57889686728</v>
      </c>
      <c r="U18" s="186">
        <f t="shared" si="3"/>
        <v>6832.91638768342</v>
      </c>
      <c r="V18" s="187">
        <f t="shared" si="3"/>
        <v>17828.4952845507</v>
      </c>
      <c r="W18" s="188">
        <f t="shared" si="3"/>
        <v>1893.0340012166639</v>
      </c>
      <c r="X18" s="189">
        <f t="shared" si="3"/>
        <v>19721.529285767363</v>
      </c>
      <c r="Y18" s="496">
        <f t="shared" si="4"/>
        <v>567.43167473052108</v>
      </c>
      <c r="AJ18" s="166"/>
      <c r="AK18" s="166"/>
      <c r="AL18" s="167"/>
      <c r="AM18" s="167"/>
    </row>
    <row r="19" spans="1:39" ht="14.85" customHeight="1" thickTop="1">
      <c r="A19" s="321" t="s">
        <v>1230</v>
      </c>
      <c r="B19" s="322">
        <v>600</v>
      </c>
      <c r="C19" s="323">
        <v>1856.8683833333334</v>
      </c>
      <c r="D19" s="324">
        <v>1376.0896333333333</v>
      </c>
      <c r="E19" s="325">
        <v>0</v>
      </c>
      <c r="F19" s="324">
        <v>1376.0896333333333</v>
      </c>
      <c r="G19" s="326">
        <v>548.91961666666668</v>
      </c>
      <c r="H19" s="326">
        <v>1925.0092499999996</v>
      </c>
      <c r="I19" s="326">
        <v>224.85499999999999</v>
      </c>
      <c r="J19" s="323">
        <f t="shared" si="2"/>
        <v>2149.8642499999996</v>
      </c>
      <c r="K19" s="327">
        <f t="shared" si="1"/>
        <v>1.1577903255268414</v>
      </c>
      <c r="L19" s="497">
        <v>50.416666666666664</v>
      </c>
      <c r="M19" s="179"/>
      <c r="N19" s="190"/>
      <c r="O19" s="127"/>
      <c r="P19" s="127"/>
      <c r="Q19" s="127"/>
      <c r="R19" s="127"/>
      <c r="S19" s="191"/>
      <c r="T19" s="127"/>
      <c r="U19" s="127"/>
      <c r="V19" s="127"/>
      <c r="W19" s="127"/>
      <c r="X19" s="127"/>
      <c r="Y19" s="127"/>
    </row>
    <row r="20" spans="1:39" ht="14.85" customHeight="1">
      <c r="A20" s="168" t="s">
        <v>1219</v>
      </c>
      <c r="B20" s="311">
        <v>601</v>
      </c>
      <c r="C20" s="169">
        <v>1853.4593677204657</v>
      </c>
      <c r="D20" s="170">
        <v>672.06825291181372</v>
      </c>
      <c r="E20" s="171">
        <v>0</v>
      </c>
      <c r="F20" s="170">
        <v>672.06825291181372</v>
      </c>
      <c r="G20" s="172">
        <v>478.67650582362734</v>
      </c>
      <c r="H20" s="172">
        <v>1150.7447587354411</v>
      </c>
      <c r="I20" s="172">
        <v>224.34627287853576</v>
      </c>
      <c r="J20" s="169">
        <f t="shared" si="2"/>
        <v>1375.0910316139768</v>
      </c>
      <c r="K20" s="314">
        <f t="shared" si="1"/>
        <v>0.74190513995738416</v>
      </c>
      <c r="L20" s="493">
        <v>50.540765391014972</v>
      </c>
      <c r="M20" s="179"/>
      <c r="N20" s="190"/>
      <c r="O20" s="127"/>
      <c r="P20" s="127"/>
      <c r="Q20" s="127"/>
      <c r="R20" s="127"/>
      <c r="S20" s="191"/>
      <c r="T20" s="127"/>
      <c r="U20" s="127"/>
      <c r="V20" s="127"/>
      <c r="W20" s="127"/>
      <c r="X20" s="127"/>
      <c r="Y20" s="127"/>
    </row>
    <row r="21" spans="1:39" ht="14.85" customHeight="1">
      <c r="A21" s="168" t="s">
        <v>1220</v>
      </c>
      <c r="B21" s="311">
        <v>601</v>
      </c>
      <c r="C21" s="169">
        <v>1843.4062728785361</v>
      </c>
      <c r="D21" s="170">
        <v>903.19159733777042</v>
      </c>
      <c r="E21" s="171">
        <v>0</v>
      </c>
      <c r="F21" s="170">
        <v>903.19159733777042</v>
      </c>
      <c r="G21" s="172">
        <v>488.32554076539094</v>
      </c>
      <c r="H21" s="172">
        <v>1391.5171381031614</v>
      </c>
      <c r="I21" s="172">
        <v>223.14926788685523</v>
      </c>
      <c r="J21" s="169">
        <f t="shared" si="2"/>
        <v>1614.6664059900168</v>
      </c>
      <c r="K21" s="314">
        <f t="shared" si="1"/>
        <v>0.87591456628205189</v>
      </c>
      <c r="L21" s="493">
        <v>50.9567387687188</v>
      </c>
      <c r="M21" s="179"/>
      <c r="N21" s="190"/>
      <c r="O21" s="127"/>
      <c r="P21" s="127"/>
      <c r="Q21" s="127"/>
      <c r="R21" s="127"/>
      <c r="S21" s="191"/>
      <c r="T21" s="127"/>
      <c r="U21" s="127"/>
      <c r="V21" s="127"/>
      <c r="W21" s="127"/>
      <c r="X21" s="127"/>
      <c r="Y21" s="127"/>
    </row>
    <row r="22" spans="1:39" ht="14.85" customHeight="1">
      <c r="A22" s="168" t="s">
        <v>1221</v>
      </c>
      <c r="B22" s="311">
        <v>596</v>
      </c>
      <c r="C22" s="169">
        <v>1840.723003355705</v>
      </c>
      <c r="D22" s="170">
        <v>1656.7896644295301</v>
      </c>
      <c r="E22" s="171">
        <v>-287.64597315436242</v>
      </c>
      <c r="F22" s="170">
        <v>1369.1436912751678</v>
      </c>
      <c r="G22" s="172">
        <v>643.49889261744966</v>
      </c>
      <c r="H22" s="172">
        <v>2012.6425838926175</v>
      </c>
      <c r="I22" s="172">
        <v>221.77703020134231</v>
      </c>
      <c r="J22" s="169">
        <f t="shared" si="2"/>
        <v>2234.4196140939598</v>
      </c>
      <c r="K22" s="314">
        <f t="shared" si="1"/>
        <v>1.2138815074405718</v>
      </c>
      <c r="L22" s="493">
        <v>50.755033557046978</v>
      </c>
      <c r="M22" s="179"/>
      <c r="N22" s="190"/>
      <c r="O22" s="127"/>
      <c r="P22" s="127"/>
      <c r="Q22" s="127"/>
      <c r="R22" s="127"/>
      <c r="S22" s="191"/>
      <c r="T22" s="127"/>
      <c r="U22" s="127"/>
      <c r="V22" s="127"/>
      <c r="W22" s="127"/>
      <c r="X22" s="127"/>
      <c r="Y22" s="127"/>
    </row>
    <row r="23" spans="1:39" ht="14.85" customHeight="1">
      <c r="A23" s="168" t="s">
        <v>1222</v>
      </c>
      <c r="B23" s="311">
        <v>598</v>
      </c>
      <c r="C23" s="169">
        <v>1838.9992140468228</v>
      </c>
      <c r="D23" s="170">
        <v>1308.8367892976587</v>
      </c>
      <c r="E23" s="171">
        <v>-510.11371237458195</v>
      </c>
      <c r="F23" s="170">
        <v>798.72307692307675</v>
      </c>
      <c r="G23" s="172">
        <v>492.87637123745822</v>
      </c>
      <c r="H23" s="172">
        <v>1291.5994481605351</v>
      </c>
      <c r="I23" s="172">
        <v>221.66702341137119</v>
      </c>
      <c r="J23" s="169">
        <f t="shared" si="2"/>
        <v>1513.2664715719063</v>
      </c>
      <c r="K23" s="314">
        <f t="shared" si="1"/>
        <v>0.8228749963638522</v>
      </c>
      <c r="L23" s="493">
        <v>50.585284280936456</v>
      </c>
      <c r="M23" s="179"/>
      <c r="N23" s="190"/>
      <c r="O23" s="127"/>
      <c r="P23" s="127"/>
      <c r="Q23" s="127"/>
      <c r="R23" s="127"/>
      <c r="S23" s="191"/>
      <c r="T23" s="127"/>
      <c r="U23" s="127"/>
      <c r="V23" s="127"/>
      <c r="W23" s="127"/>
      <c r="X23" s="127"/>
      <c r="Y23" s="127"/>
    </row>
    <row r="24" spans="1:39" ht="14.85" customHeight="1">
      <c r="A24" s="155" t="s">
        <v>1223</v>
      </c>
      <c r="B24" s="311"/>
      <c r="C24" s="169"/>
      <c r="D24" s="170"/>
      <c r="E24" s="171"/>
      <c r="F24" s="170"/>
      <c r="G24" s="172"/>
      <c r="H24" s="172"/>
      <c r="I24" s="172"/>
      <c r="J24" s="169"/>
      <c r="K24" s="314"/>
      <c r="L24" s="493"/>
      <c r="M24" s="179"/>
      <c r="N24" s="190"/>
      <c r="O24" s="127"/>
      <c r="P24" s="127"/>
      <c r="Q24" s="127"/>
      <c r="R24" s="127"/>
      <c r="S24" s="191"/>
      <c r="T24" s="127"/>
      <c r="U24" s="127"/>
      <c r="V24" s="127"/>
      <c r="W24" s="127"/>
      <c r="X24" s="127"/>
      <c r="Y24" s="127"/>
    </row>
    <row r="25" spans="1:39" ht="14.85" customHeight="1">
      <c r="A25" s="168" t="s">
        <v>1224</v>
      </c>
      <c r="B25" s="311"/>
      <c r="C25" s="169"/>
      <c r="D25" s="170"/>
      <c r="E25" s="171"/>
      <c r="F25" s="170"/>
      <c r="G25" s="172"/>
      <c r="H25" s="172"/>
      <c r="I25" s="172"/>
      <c r="J25" s="169"/>
      <c r="K25" s="314"/>
      <c r="L25" s="493"/>
      <c r="M25" s="179"/>
      <c r="N25" s="179"/>
      <c r="O25" s="193"/>
      <c r="P25" s="193"/>
      <c r="Q25" s="193"/>
      <c r="R25" s="193"/>
      <c r="S25" s="194"/>
      <c r="T25" s="193"/>
      <c r="U25" s="193"/>
      <c r="V25" s="193"/>
      <c r="W25" s="193"/>
      <c r="X25" s="193"/>
      <c r="Y25" s="193"/>
    </row>
    <row r="26" spans="1:39" ht="14.85" customHeight="1">
      <c r="A26" s="168" t="s">
        <v>1225</v>
      </c>
      <c r="B26" s="311"/>
      <c r="C26" s="169"/>
      <c r="D26" s="170"/>
      <c r="E26" s="171"/>
      <c r="F26" s="170"/>
      <c r="G26" s="172"/>
      <c r="H26" s="172"/>
      <c r="I26" s="172"/>
      <c r="J26" s="169"/>
      <c r="K26" s="314"/>
      <c r="L26" s="493"/>
      <c r="M26" s="179"/>
      <c r="N26" s="179"/>
      <c r="O26" s="193"/>
      <c r="P26" s="193"/>
      <c r="Q26" s="193"/>
      <c r="R26" s="193"/>
      <c r="S26" s="194"/>
      <c r="T26" s="193"/>
      <c r="U26" s="193"/>
      <c r="V26" s="193"/>
      <c r="W26" s="193"/>
      <c r="X26" s="193"/>
      <c r="Y26" s="193"/>
    </row>
    <row r="27" spans="1:39" ht="14.85" customHeight="1">
      <c r="A27" s="168" t="s">
        <v>1226</v>
      </c>
      <c r="B27" s="311"/>
      <c r="C27" s="169"/>
      <c r="D27" s="170"/>
      <c r="E27" s="171"/>
      <c r="F27" s="170"/>
      <c r="G27" s="172"/>
      <c r="H27" s="172"/>
      <c r="I27" s="172"/>
      <c r="J27" s="169"/>
      <c r="K27" s="314"/>
      <c r="L27" s="493"/>
      <c r="M27" s="179"/>
      <c r="N27" s="179"/>
      <c r="O27" s="193"/>
      <c r="P27" s="193"/>
      <c r="Q27" s="193"/>
      <c r="R27" s="193"/>
      <c r="S27" s="194"/>
      <c r="T27" s="193"/>
      <c r="U27" s="193"/>
      <c r="V27" s="193"/>
      <c r="W27" s="193"/>
      <c r="X27" s="193"/>
      <c r="Y27" s="193"/>
    </row>
    <row r="28" spans="1:39" ht="14.85" customHeight="1">
      <c r="A28" s="168" t="s">
        <v>1227</v>
      </c>
      <c r="B28" s="311"/>
      <c r="C28" s="169"/>
      <c r="D28" s="170"/>
      <c r="E28" s="171"/>
      <c r="F28" s="170"/>
      <c r="G28" s="172"/>
      <c r="H28" s="172"/>
      <c r="I28" s="172"/>
      <c r="J28" s="169"/>
      <c r="K28" s="314"/>
      <c r="L28" s="493"/>
      <c r="M28" s="179"/>
      <c r="N28" s="179"/>
      <c r="O28" s="193"/>
      <c r="P28" s="195"/>
      <c r="Q28" s="195"/>
      <c r="R28" s="195"/>
      <c r="S28" s="136"/>
      <c r="T28" s="195"/>
      <c r="U28" s="195"/>
      <c r="V28" s="196"/>
      <c r="W28" s="195"/>
      <c r="X28" s="195"/>
      <c r="Y28" s="195"/>
    </row>
    <row r="29" spans="1:39" ht="14.85" customHeight="1">
      <c r="A29" s="168" t="s">
        <v>1228</v>
      </c>
      <c r="B29" s="311"/>
      <c r="C29" s="169"/>
      <c r="D29" s="170"/>
      <c r="E29" s="171"/>
      <c r="F29" s="170"/>
      <c r="G29" s="172"/>
      <c r="H29" s="172"/>
      <c r="I29" s="172"/>
      <c r="J29" s="169"/>
      <c r="K29" s="314"/>
      <c r="L29" s="493"/>
      <c r="M29" s="179"/>
      <c r="N29" s="179"/>
      <c r="O29" s="193"/>
      <c r="P29" s="195"/>
      <c r="Q29" s="195"/>
      <c r="R29" s="195"/>
      <c r="S29" s="136"/>
      <c r="T29" s="195"/>
      <c r="U29" s="195"/>
      <c r="V29" s="196"/>
      <c r="W29" s="195"/>
      <c r="X29" s="195"/>
      <c r="Y29" s="195"/>
    </row>
    <row r="30" spans="1:39" ht="14.85" customHeight="1" thickBot="1">
      <c r="A30" s="198" t="s">
        <v>1229</v>
      </c>
      <c r="B30" s="328"/>
      <c r="C30" s="199"/>
      <c r="D30" s="200"/>
      <c r="E30" s="185"/>
      <c r="F30" s="200"/>
      <c r="G30" s="187"/>
      <c r="H30" s="187"/>
      <c r="I30" s="187"/>
      <c r="J30" s="199"/>
      <c r="K30" s="329"/>
      <c r="L30" s="502"/>
      <c r="M30" s="179"/>
      <c r="N30" s="179"/>
      <c r="O30" s="193"/>
      <c r="P30" s="195"/>
      <c r="Q30" s="195"/>
      <c r="R30" s="195"/>
      <c r="S30" s="136"/>
      <c r="T30" s="195"/>
      <c r="U30" s="195"/>
      <c r="V30" s="196"/>
      <c r="W30" s="195"/>
      <c r="X30" s="195"/>
      <c r="Y30" s="195"/>
    </row>
    <row r="31" spans="1:39" ht="14.85" customHeight="1">
      <c r="A31" s="594"/>
      <c r="B31" s="203"/>
      <c r="C31" s="204"/>
      <c r="D31" s="204"/>
      <c r="E31" s="204"/>
      <c r="F31" s="204"/>
      <c r="G31" s="204"/>
      <c r="H31" s="191"/>
      <c r="I31" s="191"/>
      <c r="J31" s="191"/>
      <c r="K31" s="191"/>
      <c r="L31" s="191"/>
      <c r="M31" s="205"/>
      <c r="N31" s="205"/>
      <c r="O31" s="193"/>
      <c r="P31" s="195"/>
      <c r="Q31" s="195"/>
      <c r="R31" s="195"/>
      <c r="S31" s="136"/>
      <c r="T31" s="195"/>
      <c r="U31" s="195"/>
      <c r="V31" s="196"/>
      <c r="W31" s="195"/>
      <c r="X31" s="195"/>
      <c r="Y31" s="195"/>
    </row>
    <row r="32" spans="1:39" ht="12" customHeight="1" thickBot="1">
      <c r="A32" s="206"/>
      <c r="B32" s="207"/>
      <c r="C32" s="208"/>
      <c r="D32" s="208"/>
      <c r="E32" s="208"/>
      <c r="F32" s="208"/>
      <c r="G32" s="208"/>
      <c r="H32" s="208"/>
      <c r="I32" s="208"/>
      <c r="J32" s="208"/>
      <c r="K32" s="209"/>
      <c r="L32" s="208"/>
      <c r="O32" s="193"/>
      <c r="P32" s="210"/>
      <c r="Q32" s="210"/>
      <c r="R32" s="210"/>
      <c r="S32" s="210"/>
      <c r="T32" s="210"/>
      <c r="U32" s="210"/>
      <c r="V32" s="210"/>
      <c r="W32" s="210"/>
      <c r="X32" s="210"/>
      <c r="Y32" s="210"/>
    </row>
    <row r="33" spans="1:52" ht="13.35" customHeight="1">
      <c r="A33" s="211" t="s">
        <v>1231</v>
      </c>
      <c r="B33" s="330">
        <f>AVERAGE(B19:B30)</f>
        <v>599.20000000000005</v>
      </c>
      <c r="C33" s="212">
        <f t="shared" ref="C33:I33" si="5">SUM(C19:C30)</f>
        <v>9233.4562413348631</v>
      </c>
      <c r="D33" s="213">
        <f t="shared" si="5"/>
        <v>5916.975937310106</v>
      </c>
      <c r="E33" s="213">
        <f t="shared" si="5"/>
        <v>-797.75968552894437</v>
      </c>
      <c r="F33" s="213">
        <f t="shared" si="5"/>
        <v>5119.2162517811621</v>
      </c>
      <c r="G33" s="213">
        <f t="shared" si="5"/>
        <v>2652.2969271105931</v>
      </c>
      <c r="H33" s="213">
        <f t="shared" si="5"/>
        <v>7771.5131788917543</v>
      </c>
      <c r="I33" s="213">
        <f t="shared" si="5"/>
        <v>1115.7945943781044</v>
      </c>
      <c r="J33" s="212">
        <f>SUM(J19:J30)</f>
        <v>8887.3077732698584</v>
      </c>
      <c r="K33" s="331">
        <f>J33/C33</f>
        <v>0.96251149526052637</v>
      </c>
      <c r="L33" s="504">
        <f>SUM(L19:L30)</f>
        <v>253.25448866438387</v>
      </c>
      <c r="O33" s="193"/>
      <c r="P33" s="210"/>
      <c r="Q33" s="210"/>
      <c r="R33" s="210"/>
      <c r="S33" s="210"/>
      <c r="T33" s="210"/>
      <c r="U33" s="210"/>
      <c r="V33" s="210"/>
      <c r="W33" s="210"/>
      <c r="X33" s="210"/>
      <c r="Y33" s="210"/>
    </row>
    <row r="34" spans="1:52" ht="13.35" customHeight="1">
      <c r="A34" s="214" t="s">
        <v>1232</v>
      </c>
      <c r="B34" s="332">
        <f t="shared" ref="B34:I34" si="6">((LOOKUP($P$2,$O$7:$O$18,P7:P18)))</f>
        <v>556</v>
      </c>
      <c r="C34" s="215">
        <f t="shared" si="6"/>
        <v>8769.8110532359024</v>
      </c>
      <c r="D34" s="216">
        <f t="shared" si="6"/>
        <v>5341.6579576722925</v>
      </c>
      <c r="E34" s="216">
        <f t="shared" si="6"/>
        <v>0</v>
      </c>
      <c r="F34" s="216">
        <f t="shared" si="6"/>
        <v>5341.6579576722925</v>
      </c>
      <c r="G34" s="216">
        <f t="shared" si="6"/>
        <v>2854.2639188230178</v>
      </c>
      <c r="H34" s="216">
        <f t="shared" si="6"/>
        <v>8195.9218764953093</v>
      </c>
      <c r="I34" s="216">
        <f t="shared" si="6"/>
        <v>794.98235354583471</v>
      </c>
      <c r="J34" s="215">
        <f>((LOOKUP($P$2,$O$7:$O$18,Y7:Y18)))</f>
        <v>234.26662769004548</v>
      </c>
      <c r="K34" s="333">
        <f>J34/C34</f>
        <v>2.6712847776076694E-2</v>
      </c>
      <c r="L34" s="506">
        <f>((LOOKUP($P$2,$O$7:$O$18,AB7:AB18)))</f>
        <v>0</v>
      </c>
      <c r="O34" s="193"/>
      <c r="P34" s="210"/>
      <c r="Q34" s="210"/>
      <c r="R34" s="210"/>
      <c r="S34" s="210"/>
      <c r="T34" s="210"/>
      <c r="U34" s="210"/>
      <c r="V34" s="210"/>
      <c r="W34" s="210"/>
      <c r="X34" s="210"/>
      <c r="Y34" s="210"/>
    </row>
    <row r="35" spans="1:52" ht="13.35" customHeight="1" thickBot="1">
      <c r="A35" s="217" t="s">
        <v>1233</v>
      </c>
      <c r="B35" s="218">
        <f>(B33/B34)-1</f>
        <v>7.7697841726618755E-2</v>
      </c>
      <c r="C35" s="219">
        <f>(C33/C34)-1</f>
        <v>5.2868321253954909E-2</v>
      </c>
      <c r="D35" s="220">
        <f>(D33/D34)-1</f>
        <v>0.10770400954098469</v>
      </c>
      <c r="E35" s="220" t="s">
        <v>46</v>
      </c>
      <c r="F35" s="220">
        <f t="shared" ref="F35:K35" si="7">(F33/F34)-1</f>
        <v>-4.1642820946937387E-2</v>
      </c>
      <c r="G35" s="220">
        <f t="shared" si="7"/>
        <v>-7.0759746630475462E-2</v>
      </c>
      <c r="H35" s="220">
        <f t="shared" si="7"/>
        <v>-5.1782911550279254E-2</v>
      </c>
      <c r="I35" s="220">
        <f t="shared" si="7"/>
        <v>0.40354636728898563</v>
      </c>
      <c r="J35" s="219">
        <f t="shared" si="7"/>
        <v>36.936721337144597</v>
      </c>
      <c r="K35" s="219">
        <f t="shared" si="7"/>
        <v>35.031781535569777</v>
      </c>
      <c r="L35" s="221" t="s">
        <v>46</v>
      </c>
      <c r="O35" s="193"/>
      <c r="P35" s="210"/>
      <c r="Q35" s="210"/>
      <c r="R35" s="210"/>
      <c r="S35" s="210"/>
      <c r="T35" s="210"/>
      <c r="U35" s="210"/>
      <c r="V35" s="210"/>
      <c r="W35" s="210"/>
      <c r="X35" s="210"/>
      <c r="Y35" s="210"/>
    </row>
    <row r="36" spans="1:52" ht="13.35" customHeight="1">
      <c r="A36" s="202"/>
      <c r="B36" s="207" t="s">
        <v>1234</v>
      </c>
      <c r="C36" s="204"/>
      <c r="D36" s="204"/>
      <c r="E36" s="204"/>
      <c r="F36" s="204"/>
      <c r="G36" s="191"/>
      <c r="H36" s="191"/>
      <c r="I36" s="191"/>
      <c r="J36" s="191"/>
      <c r="K36" s="191"/>
      <c r="L36" s="191"/>
      <c r="O36" s="193"/>
      <c r="P36" s="210"/>
      <c r="Q36" s="210"/>
      <c r="R36" s="210"/>
      <c r="S36" s="210"/>
      <c r="T36" s="210"/>
      <c r="U36" s="210"/>
      <c r="V36" s="210"/>
      <c r="W36" s="210"/>
      <c r="X36" s="210"/>
      <c r="Y36" s="210"/>
    </row>
    <row r="37" spans="1:52" ht="13.35" customHeight="1" thickBot="1">
      <c r="A37" s="206"/>
      <c r="B37" s="207"/>
      <c r="C37" s="204"/>
      <c r="D37" s="204"/>
      <c r="E37" s="204"/>
      <c r="F37" s="204"/>
      <c r="G37" s="191"/>
      <c r="H37" s="191"/>
      <c r="I37" s="191"/>
      <c r="J37" s="191"/>
      <c r="K37" s="191"/>
      <c r="L37" s="191"/>
      <c r="O37" s="193"/>
      <c r="P37" s="210"/>
      <c r="Q37" s="210"/>
      <c r="R37" s="210"/>
      <c r="S37" s="210"/>
      <c r="T37" s="210"/>
      <c r="U37" s="210"/>
      <c r="V37" s="210"/>
      <c r="W37" s="210"/>
      <c r="X37" s="210"/>
      <c r="Y37" s="210"/>
    </row>
    <row r="38" spans="1:52" ht="13.35" customHeight="1" thickBot="1">
      <c r="A38" s="222" t="s">
        <v>1235</v>
      </c>
      <c r="B38" s="334">
        <f>AVERAGE(B7:B18)</f>
        <v>564.33333333333337</v>
      </c>
      <c r="C38" s="223">
        <f t="shared" ref="C38:J38" si="8">SUM(C7:C18)</f>
        <v>20805.165885712937</v>
      </c>
      <c r="D38" s="224">
        <f t="shared" si="8"/>
        <v>12876.865677587273</v>
      </c>
      <c r="E38" s="224">
        <f t="shared" si="8"/>
        <v>-1881.2867807199955</v>
      </c>
      <c r="F38" s="224">
        <f t="shared" si="8"/>
        <v>10995.57889686728</v>
      </c>
      <c r="G38" s="224">
        <f t="shared" si="8"/>
        <v>6832.91638768342</v>
      </c>
      <c r="H38" s="224">
        <f t="shared" si="8"/>
        <v>17828.4952845507</v>
      </c>
      <c r="I38" s="224">
        <f t="shared" si="8"/>
        <v>1893.0340012166639</v>
      </c>
      <c r="J38" s="223">
        <f t="shared" si="8"/>
        <v>19721.529285767363</v>
      </c>
      <c r="K38" s="225">
        <f>J38/C38</f>
        <v>0.94791502236039771</v>
      </c>
      <c r="L38" s="507">
        <f>SUM(L7:L18)</f>
        <v>567.43167473052108</v>
      </c>
      <c r="O38" s="193"/>
      <c r="P38" s="210"/>
      <c r="Q38" s="210"/>
      <c r="R38" s="210"/>
      <c r="S38" s="210"/>
      <c r="T38" s="210"/>
      <c r="U38" s="210"/>
      <c r="V38" s="210"/>
      <c r="W38" s="210"/>
      <c r="X38" s="210"/>
      <c r="Y38" s="210"/>
    </row>
    <row r="39" spans="1:52" ht="13.35" customHeight="1">
      <c r="A39" s="226"/>
      <c r="B39" s="207" t="s">
        <v>1234</v>
      </c>
      <c r="C39" s="208"/>
      <c r="D39" s="208"/>
      <c r="E39" s="208"/>
      <c r="F39" s="208"/>
      <c r="G39" s="208"/>
      <c r="H39" s="208"/>
      <c r="I39" s="208"/>
      <c r="J39" s="208"/>
      <c r="K39" s="209"/>
      <c r="L39" s="208"/>
      <c r="O39" s="193"/>
      <c r="P39" s="210"/>
      <c r="Q39" s="210"/>
      <c r="R39" s="210"/>
      <c r="S39" s="210"/>
      <c r="T39" s="210"/>
      <c r="U39" s="210"/>
      <c r="V39" s="210"/>
      <c r="W39" s="210"/>
      <c r="X39" s="210"/>
      <c r="Y39" s="210"/>
    </row>
    <row r="40" spans="1:52" ht="13.35" customHeight="1">
      <c r="A40" s="226"/>
      <c r="B40" s="207"/>
      <c r="C40" s="208"/>
      <c r="D40" s="208"/>
      <c r="E40" s="208"/>
      <c r="F40" s="208"/>
      <c r="G40" s="208"/>
      <c r="H40" s="208"/>
      <c r="I40" s="208"/>
      <c r="J40" s="208"/>
      <c r="K40" s="209"/>
      <c r="L40" s="208"/>
      <c r="O40" s="193"/>
      <c r="P40" s="210"/>
      <c r="Q40" s="210"/>
      <c r="R40" s="210"/>
      <c r="S40" s="210"/>
      <c r="T40" s="210"/>
      <c r="U40" s="210"/>
      <c r="V40" s="210"/>
      <c r="W40" s="210"/>
      <c r="X40" s="210"/>
      <c r="Y40" s="210"/>
    </row>
    <row r="41" spans="1:52" ht="13.35" customHeight="1" thickBot="1">
      <c r="A41" s="227" t="s">
        <v>1236</v>
      </c>
      <c r="B41" s="207"/>
      <c r="C41" s="208"/>
      <c r="D41" s="208"/>
      <c r="E41" s="208"/>
      <c r="F41" s="208"/>
      <c r="G41" s="208"/>
      <c r="H41" s="208"/>
      <c r="I41" s="208"/>
      <c r="J41" s="208"/>
      <c r="K41" s="209"/>
      <c r="L41" s="208"/>
      <c r="O41" s="193"/>
      <c r="P41" s="210"/>
      <c r="Q41" s="210"/>
      <c r="R41" s="210"/>
      <c r="S41" s="210"/>
      <c r="T41" s="210"/>
      <c r="U41" s="210"/>
      <c r="V41" s="210"/>
      <c r="W41" s="210"/>
      <c r="X41" s="210"/>
      <c r="Y41" s="210"/>
    </row>
    <row r="42" spans="1:52" s="231" customFormat="1" ht="13.35" customHeight="1">
      <c r="A42" s="228" t="s">
        <v>1237</v>
      </c>
      <c r="B42" s="335">
        <f ca="1">AVERAGE(OFFSET(B7,COUNT(B8:B30),0,-3))</f>
        <v>598.33333333333337</v>
      </c>
      <c r="C42" s="229">
        <f t="shared" ref="C42:J42" ca="1" si="9">SUM(OFFSET(C7,COUNT(C8:C30),0,-3))</f>
        <v>5523.1284902810639</v>
      </c>
      <c r="D42" s="230">
        <f t="shared" ca="1" si="9"/>
        <v>3868.818051064959</v>
      </c>
      <c r="E42" s="230">
        <f t="shared" ca="1" si="9"/>
        <v>-797.75968552894437</v>
      </c>
      <c r="F42" s="230">
        <f t="shared" ca="1" si="9"/>
        <v>3071.0583655360151</v>
      </c>
      <c r="G42" s="230">
        <f t="shared" ca="1" si="9"/>
        <v>1624.7008046202989</v>
      </c>
      <c r="H42" s="230">
        <f t="shared" ca="1" si="9"/>
        <v>4695.7591701563142</v>
      </c>
      <c r="I42" s="230">
        <f t="shared" ca="1" si="9"/>
        <v>666.59332149956867</v>
      </c>
      <c r="J42" s="229">
        <f t="shared" ca="1" si="9"/>
        <v>5362.3524916558827</v>
      </c>
      <c r="K42" s="595">
        <f ca="1">J42/C42</f>
        <v>0.97089041131161524</v>
      </c>
      <c r="L42" s="508">
        <f ca="1">SUM(OFFSET(L7,COUNT(L8:L30),0,-3))</f>
        <v>152.29705660670223</v>
      </c>
      <c r="O42" s="193"/>
      <c r="P42" s="210"/>
      <c r="Q42" s="210"/>
      <c r="R42" s="210"/>
      <c r="S42" s="210"/>
      <c r="T42" s="210"/>
      <c r="U42" s="210"/>
      <c r="V42" s="210"/>
      <c r="W42" s="210"/>
      <c r="X42" s="210"/>
      <c r="Y42" s="210"/>
    </row>
    <row r="43" spans="1:52" ht="13.35" customHeight="1">
      <c r="A43" s="232" t="s">
        <v>1238</v>
      </c>
      <c r="B43" s="271">
        <f ca="1">AVERAGE(OFFSET(B7,COUNT(B8:B30),0,-6))</f>
        <v>596.16666666666663</v>
      </c>
      <c r="C43" s="233">
        <f t="shared" ref="C43:J43" ca="1" si="10">SUM(OFFSET(C7,COUNT(C8:C30),0,-6))</f>
        <v>10941.411232729009</v>
      </c>
      <c r="D43" s="234">
        <f t="shared" ca="1" si="10"/>
        <v>6921.2535448832559</v>
      </c>
      <c r="E43" s="235">
        <f t="shared" ca="1" si="10"/>
        <v>-1131.6099437045036</v>
      </c>
      <c r="F43" s="236">
        <f t="shared" ca="1" si="10"/>
        <v>5789.6436011787528</v>
      </c>
      <c r="G43" s="236">
        <f t="shared" ca="1" si="10"/>
        <v>3260.7960837370993</v>
      </c>
      <c r="H43" s="236">
        <f t="shared" ca="1" si="10"/>
        <v>9050.4396849158511</v>
      </c>
      <c r="I43" s="236">
        <f t="shared" ca="1" si="10"/>
        <v>1271.9626666672611</v>
      </c>
      <c r="J43" s="233">
        <f t="shared" ca="1" si="10"/>
        <v>10322.402351583112</v>
      </c>
      <c r="K43" s="596">
        <f ca="1">J43/C43</f>
        <v>0.943425133378201</v>
      </c>
      <c r="L43" s="509">
        <f ca="1">SUM(OFFSET(L7,COUNT(L8:L30),0,-6))</f>
        <v>300.5866745507866</v>
      </c>
      <c r="O43" s="193"/>
      <c r="P43" s="210"/>
      <c r="Q43" s="210"/>
      <c r="R43" s="210"/>
      <c r="S43" s="210"/>
      <c r="T43" s="210"/>
      <c r="U43" s="210"/>
      <c r="V43" s="210"/>
      <c r="W43" s="210"/>
      <c r="X43" s="210"/>
      <c r="Y43" s="210"/>
    </row>
    <row r="44" spans="1:52" ht="13.35" customHeight="1" thickBot="1">
      <c r="A44" s="238" t="s">
        <v>1239</v>
      </c>
      <c r="B44" s="239">
        <f ca="1">AVERAGE(OFFSET(B7,COUNT(B8:B30),0,-12))</f>
        <v>582.33333333333337</v>
      </c>
      <c r="C44" s="240">
        <f t="shared" ref="C44:J44" ca="1" si="11">SUM(OFFSET(C7,COUNT(C8:C30),0,-12))</f>
        <v>21268.811073811896</v>
      </c>
      <c r="D44" s="241">
        <f t="shared" ca="1" si="11"/>
        <v>13452.183657225089</v>
      </c>
      <c r="E44" s="242">
        <f t="shared" ca="1" si="11"/>
        <v>-2679.0464662489399</v>
      </c>
      <c r="F44" s="243">
        <f t="shared" ca="1" si="11"/>
        <v>10773.137190976147</v>
      </c>
      <c r="G44" s="243">
        <f t="shared" ca="1" si="11"/>
        <v>6630.9493959709962</v>
      </c>
      <c r="H44" s="243">
        <f t="shared" ca="1" si="11"/>
        <v>17404.086586947142</v>
      </c>
      <c r="I44" s="243">
        <f t="shared" ca="1" si="11"/>
        <v>2213.8462420489341</v>
      </c>
      <c r="J44" s="240">
        <f t="shared" ca="1" si="11"/>
        <v>19617.932828996079</v>
      </c>
      <c r="K44" s="597">
        <f ca="1">J44/C44</f>
        <v>0.92238032304266748</v>
      </c>
      <c r="L44" s="510">
        <f ca="1">SUM(OFFSET(L7,COUNT(L8:L30),0,-12))</f>
        <v>586.41953570485953</v>
      </c>
      <c r="O44" s="193"/>
      <c r="P44" s="210"/>
      <c r="Q44" s="210"/>
      <c r="R44" s="210"/>
      <c r="S44" s="210"/>
      <c r="T44" s="210"/>
      <c r="U44" s="210"/>
      <c r="V44" s="210"/>
      <c r="W44" s="210"/>
      <c r="X44" s="210"/>
      <c r="Y44" s="210"/>
    </row>
    <row r="45" spans="1:52" ht="13.35" customHeight="1">
      <c r="A45" s="202"/>
      <c r="B45" s="207" t="s">
        <v>1234</v>
      </c>
      <c r="C45" s="204"/>
      <c r="D45" s="244"/>
      <c r="E45" s="204"/>
      <c r="F45" s="204"/>
      <c r="G45" s="191"/>
      <c r="H45" s="191"/>
      <c r="I45" s="191"/>
      <c r="J45" s="191"/>
      <c r="K45" s="191"/>
      <c r="L45" s="191"/>
      <c r="O45" s="193"/>
      <c r="P45" s="210"/>
      <c r="Q45" s="210"/>
      <c r="R45" s="210"/>
      <c r="S45" s="210"/>
      <c r="T45" s="210"/>
      <c r="U45" s="210"/>
      <c r="V45" s="210"/>
      <c r="W45" s="210"/>
      <c r="X45" s="210"/>
      <c r="Y45" s="210"/>
    </row>
    <row r="46" spans="1:52" s="247" customFormat="1" ht="15.75" customHeight="1">
      <c r="A46" s="245"/>
      <c r="B46" s="246"/>
      <c r="C46" s="246"/>
      <c r="D46" s="246"/>
      <c r="E46" s="246"/>
      <c r="F46" s="246"/>
      <c r="G46" s="194"/>
      <c r="H46" s="194"/>
      <c r="I46" s="194"/>
      <c r="J46" s="194"/>
      <c r="K46" s="194"/>
      <c r="L46" s="194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</row>
    <row r="47" spans="1:52" ht="15.75" customHeight="1">
      <c r="A47" s="202"/>
    </row>
    <row r="48" spans="1:52" ht="15.75" customHeight="1">
      <c r="O48" s="205"/>
      <c r="P48" s="205"/>
      <c r="Q48" s="205"/>
      <c r="R48" s="136"/>
    </row>
    <row r="49" spans="13:20" ht="15.75" customHeight="1">
      <c r="P49" s="205"/>
      <c r="Q49" s="249"/>
      <c r="R49" s="250"/>
      <c r="S49" s="251"/>
    </row>
    <row r="50" spans="13:20" ht="15.75" customHeight="1">
      <c r="P50" s="205"/>
      <c r="Q50" s="249"/>
      <c r="R50" s="250"/>
      <c r="S50" s="251"/>
    </row>
    <row r="51" spans="13:20">
      <c r="P51" s="205"/>
      <c r="Q51" s="179"/>
      <c r="R51" s="136"/>
      <c r="S51" s="251"/>
      <c r="T51" s="251"/>
    </row>
    <row r="52" spans="13:20">
      <c r="M52" s="251"/>
      <c r="N52" s="251"/>
    </row>
    <row r="53" spans="13:20">
      <c r="Q53" s="253"/>
    </row>
    <row r="54" spans="13:20">
      <c r="Q54" s="253"/>
    </row>
    <row r="55" spans="13:20">
      <c r="Q55" s="253"/>
    </row>
    <row r="56" spans="13:20">
      <c r="Q56" s="253"/>
    </row>
    <row r="57" spans="13:20">
      <c r="Q57" s="254"/>
    </row>
    <row r="58" spans="13:20">
      <c r="Q58" s="253"/>
    </row>
  </sheetData>
  <mergeCells count="3">
    <mergeCell ref="A1:L1"/>
    <mergeCell ref="A2:L2"/>
    <mergeCell ref="A3:L3"/>
  </mergeCells>
  <printOptions horizontalCentered="1"/>
  <pageMargins left="0.25" right="0.25" top="0.5" bottom="0.25" header="0.5" footer="0.15"/>
  <pageSetup scale="60" orientation="landscape" r:id="rId1"/>
  <headerFooter scaleWithDoc="0" alignWithMargins="0">
    <oddFooter>&amp;C
&amp;"Times New Roman,Regular"
&amp;"Arial,Regular"&amp;P&amp;R&amp;"Times New Roman,Regular"                &amp;"Arial,Regular"            Davidson Benefits Planning - An Alera Group Company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BB5E3-FCFB-4AB5-99FF-53BE63DD4655}">
  <sheetPr>
    <tabColor theme="3" tint="-0.249977111117893"/>
    <pageSetUpPr fitToPage="1"/>
  </sheetPr>
  <dimension ref="A1:AJ97"/>
  <sheetViews>
    <sheetView showGridLines="0" topLeftCell="A6" zoomScale="85" zoomScaleNormal="85" zoomScaleSheetLayoutView="85" workbookViewId="0">
      <selection sqref="A1:L1"/>
    </sheetView>
  </sheetViews>
  <sheetFormatPr defaultColWidth="9.33203125" defaultRowHeight="12.75"/>
  <cols>
    <col min="1" max="1" width="23.6640625" style="125" customWidth="1"/>
    <col min="2" max="2" width="22.6640625" style="125" customWidth="1"/>
    <col min="3" max="8" width="13.33203125" style="125" customWidth="1"/>
    <col min="9" max="9" width="23.6640625" style="125" customWidth="1"/>
    <col min="10" max="10" width="14.77734375" style="125" customWidth="1"/>
    <col min="11" max="14" width="11.6640625" style="125" customWidth="1"/>
    <col min="15" max="15" width="16.77734375" style="125" customWidth="1"/>
    <col min="16" max="16" width="11.6640625" style="125" customWidth="1"/>
    <col min="17" max="17" width="9.33203125" style="195"/>
    <col min="18" max="19" width="18.77734375" style="125" customWidth="1"/>
    <col min="20" max="16384" width="9.33203125" style="125"/>
  </cols>
  <sheetData>
    <row r="1" spans="1:17" ht="25.35" customHeight="1">
      <c r="A1" s="1153" t="s">
        <v>1189</v>
      </c>
      <c r="B1" s="1153"/>
      <c r="C1" s="1153"/>
      <c r="D1" s="1153"/>
      <c r="E1" s="1153"/>
      <c r="F1" s="1153"/>
      <c r="G1" s="1153"/>
      <c r="H1" s="1153"/>
      <c r="I1" s="1153"/>
      <c r="K1" s="127" t="s">
        <v>61</v>
      </c>
    </row>
    <row r="2" spans="1:17" s="128" customFormat="1" ht="14.25" customHeight="1">
      <c r="A2" s="1154" t="s">
        <v>1241</v>
      </c>
      <c r="B2" s="1154"/>
      <c r="C2" s="1154"/>
      <c r="D2" s="1154"/>
      <c r="E2" s="1154"/>
      <c r="F2" s="1154"/>
      <c r="G2" s="1154"/>
      <c r="H2" s="1154"/>
      <c r="I2" s="1154"/>
      <c r="K2" s="127">
        <f>COUNT(C19:C30)</f>
        <v>5</v>
      </c>
      <c r="Q2" s="631"/>
    </row>
    <row r="3" spans="1:17" s="128" customFormat="1" ht="14.25" customHeight="1">
      <c r="A3" s="1154" t="s">
        <v>1242</v>
      </c>
      <c r="B3" s="1154"/>
      <c r="C3" s="1154"/>
      <c r="D3" s="1154"/>
      <c r="E3" s="1154"/>
      <c r="F3" s="1154"/>
      <c r="G3" s="1154"/>
      <c r="H3" s="1154"/>
      <c r="I3" s="1154"/>
      <c r="Q3" s="631"/>
    </row>
    <row r="4" spans="1:17" ht="30.75" customHeight="1">
      <c r="A4" s="126"/>
      <c r="B4" s="255"/>
      <c r="C4" s="126"/>
      <c r="D4" s="137"/>
      <c r="E4" s="137"/>
      <c r="F4" s="137"/>
      <c r="G4" s="137"/>
      <c r="H4" s="137"/>
      <c r="I4" s="126"/>
      <c r="J4" s="126"/>
      <c r="K4" s="126"/>
      <c r="L4" s="126"/>
      <c r="M4" s="126"/>
      <c r="N4" s="126"/>
      <c r="O4" s="126"/>
    </row>
    <row r="5" spans="1:17" ht="18" customHeight="1" thickBot="1">
      <c r="A5" s="126"/>
      <c r="B5" s="133"/>
      <c r="C5" s="134" t="s">
        <v>1192</v>
      </c>
      <c r="D5" s="135" t="s">
        <v>1193</v>
      </c>
      <c r="E5" s="135" t="s">
        <v>1194</v>
      </c>
      <c r="F5" s="135" t="s">
        <v>1195</v>
      </c>
      <c r="G5" s="135" t="s">
        <v>1196</v>
      </c>
      <c r="H5" s="135" t="s">
        <v>1197</v>
      </c>
      <c r="I5" s="126"/>
      <c r="J5" s="126"/>
      <c r="K5" s="126"/>
      <c r="L5" s="126"/>
      <c r="M5" s="126"/>
      <c r="N5" s="126"/>
      <c r="O5" s="126"/>
    </row>
    <row r="6" spans="1:17" s="154" customFormat="1" ht="52.5" customHeight="1" thickBot="1">
      <c r="A6" s="256"/>
      <c r="B6" s="139" t="s">
        <v>1203</v>
      </c>
      <c r="C6" s="142" t="s">
        <v>1204</v>
      </c>
      <c r="D6" s="141" t="s">
        <v>90</v>
      </c>
      <c r="E6" s="142" t="s">
        <v>1243</v>
      </c>
      <c r="F6" s="140" t="s">
        <v>1244</v>
      </c>
      <c r="G6" s="141" t="s">
        <v>1245</v>
      </c>
      <c r="H6" s="336" t="s">
        <v>1246</v>
      </c>
      <c r="I6" s="337"/>
      <c r="J6" s="256"/>
      <c r="K6" s="338" t="str">
        <f t="shared" ref="K6:O7" si="0">C6</f>
        <v>Number of Enrolled Employees</v>
      </c>
      <c r="L6" s="339" t="str">
        <f t="shared" si="0"/>
        <v>Funding</v>
      </c>
      <c r="M6" s="340" t="str">
        <f t="shared" si="0"/>
        <v>Dental           Paid Claims</v>
      </c>
      <c r="N6" s="339" t="str">
        <f t="shared" si="0"/>
        <v>Fixed       Expenses</v>
      </c>
      <c r="O6" s="341" t="str">
        <f t="shared" si="0"/>
        <v>Net Expenses
( c + d )</v>
      </c>
      <c r="P6" s="342"/>
      <c r="Q6" s="252"/>
    </row>
    <row r="7" spans="1:17">
      <c r="A7" s="126"/>
      <c r="B7" s="155" t="s">
        <v>1217</v>
      </c>
      <c r="C7" s="257">
        <v>774</v>
      </c>
      <c r="D7" s="343">
        <v>86678.92</v>
      </c>
      <c r="E7" s="259">
        <v>73487.7</v>
      </c>
      <c r="F7" s="259">
        <v>6215.2199999999993</v>
      </c>
      <c r="G7" s="343">
        <f>E7+F7</f>
        <v>79702.92</v>
      </c>
      <c r="H7" s="344">
        <f>+G7/D7</f>
        <v>0.91951907107287445</v>
      </c>
      <c r="I7" s="126"/>
      <c r="J7" s="127">
        <v>1</v>
      </c>
      <c r="K7" s="258">
        <f t="shared" si="0"/>
        <v>774</v>
      </c>
      <c r="L7" s="165">
        <f t="shared" si="0"/>
        <v>86678.92</v>
      </c>
      <c r="M7" s="259">
        <f t="shared" si="0"/>
        <v>73487.7</v>
      </c>
      <c r="N7" s="259">
        <f t="shared" si="0"/>
        <v>6215.2199999999993</v>
      </c>
      <c r="O7" s="345">
        <f t="shared" si="0"/>
        <v>79702.92</v>
      </c>
      <c r="P7" s="346"/>
    </row>
    <row r="8" spans="1:17">
      <c r="A8" s="126"/>
      <c r="B8" s="168" t="s">
        <v>1219</v>
      </c>
      <c r="C8" s="257">
        <v>778</v>
      </c>
      <c r="D8" s="347">
        <v>87605.819999999992</v>
      </c>
      <c r="E8" s="263">
        <v>79719.900000000009</v>
      </c>
      <c r="F8" s="263">
        <v>6247.3399999999992</v>
      </c>
      <c r="G8" s="347">
        <f>E8+F8</f>
        <v>85967.24</v>
      </c>
      <c r="H8" s="344">
        <f t="shared" ref="H8:H23" si="1">+G8/D8</f>
        <v>0.98129599152202462</v>
      </c>
      <c r="I8" s="126"/>
      <c r="J8" s="127">
        <v>2</v>
      </c>
      <c r="K8" s="258">
        <f>AVERAGE($C$7:C8)</f>
        <v>776</v>
      </c>
      <c r="L8" s="262">
        <f>L7+D8</f>
        <v>174284.74</v>
      </c>
      <c r="M8" s="263">
        <f>M7+E8</f>
        <v>153207.6</v>
      </c>
      <c r="N8" s="263">
        <f>N7+F8</f>
        <v>12462.559999999998</v>
      </c>
      <c r="O8" s="348">
        <f>O7+G8</f>
        <v>165670.16</v>
      </c>
      <c r="P8" s="346"/>
    </row>
    <row r="9" spans="1:17">
      <c r="A9" s="126"/>
      <c r="B9" s="168" t="s">
        <v>1220</v>
      </c>
      <c r="C9" s="257">
        <v>781</v>
      </c>
      <c r="D9" s="347">
        <v>87936.875</v>
      </c>
      <c r="E9" s="263">
        <v>101102.74</v>
      </c>
      <c r="F9" s="263">
        <v>6271.4299999999994</v>
      </c>
      <c r="G9" s="347">
        <f t="shared" ref="G9:G23" si="2">E9+F9</f>
        <v>107374.17</v>
      </c>
      <c r="H9" s="344">
        <f t="shared" si="1"/>
        <v>1.221036908577886</v>
      </c>
      <c r="I9" s="126"/>
      <c r="J9" s="127">
        <v>3</v>
      </c>
      <c r="K9" s="258">
        <f>AVERAGE($C$7:C9)</f>
        <v>777.66666666666663</v>
      </c>
      <c r="L9" s="262">
        <f t="shared" ref="L9:O18" si="3">L8+D9</f>
        <v>262221.61499999999</v>
      </c>
      <c r="M9" s="263">
        <f t="shared" si="3"/>
        <v>254310.34000000003</v>
      </c>
      <c r="N9" s="263">
        <f t="shared" si="3"/>
        <v>18733.989999999998</v>
      </c>
      <c r="O9" s="348">
        <f t="shared" si="3"/>
        <v>273044.33</v>
      </c>
      <c r="P9" s="346"/>
    </row>
    <row r="10" spans="1:17">
      <c r="A10" s="126"/>
      <c r="B10" s="168" t="s">
        <v>1221</v>
      </c>
      <c r="C10" s="257">
        <v>779</v>
      </c>
      <c r="D10" s="347">
        <v>87756.579999999987</v>
      </c>
      <c r="E10" s="263">
        <v>67401.86</v>
      </c>
      <c r="F10" s="263">
        <v>6255.37</v>
      </c>
      <c r="G10" s="347">
        <f t="shared" si="2"/>
        <v>73657.23</v>
      </c>
      <c r="H10" s="344">
        <f t="shared" si="1"/>
        <v>0.8393356942579121</v>
      </c>
      <c r="I10" s="126"/>
      <c r="J10" s="127">
        <v>4</v>
      </c>
      <c r="K10" s="258">
        <f>AVERAGE($C$7:C10)</f>
        <v>778</v>
      </c>
      <c r="L10" s="262">
        <f t="shared" si="3"/>
        <v>349978.19499999995</v>
      </c>
      <c r="M10" s="263">
        <f t="shared" si="3"/>
        <v>321712.2</v>
      </c>
      <c r="N10" s="263">
        <f t="shared" si="3"/>
        <v>24989.359999999997</v>
      </c>
      <c r="O10" s="348">
        <f t="shared" si="3"/>
        <v>346701.56</v>
      </c>
      <c r="P10" s="346"/>
    </row>
    <row r="11" spans="1:17">
      <c r="A11" s="126"/>
      <c r="B11" s="168" t="s">
        <v>1222</v>
      </c>
      <c r="C11" s="257">
        <v>786</v>
      </c>
      <c r="D11" s="347">
        <v>88219.364999999991</v>
      </c>
      <c r="E11" s="263">
        <v>89068.72</v>
      </c>
      <c r="F11" s="263">
        <v>6311.58</v>
      </c>
      <c r="G11" s="347">
        <f t="shared" si="2"/>
        <v>95380.3</v>
      </c>
      <c r="H11" s="344">
        <f t="shared" si="1"/>
        <v>1.0811719172995635</v>
      </c>
      <c r="I11" s="126"/>
      <c r="J11" s="127">
        <v>5</v>
      </c>
      <c r="K11" s="258">
        <f>AVERAGE($C$7:C11)</f>
        <v>779.6</v>
      </c>
      <c r="L11" s="262">
        <f t="shared" si="3"/>
        <v>438197.55999999994</v>
      </c>
      <c r="M11" s="263">
        <f t="shared" si="3"/>
        <v>410780.92000000004</v>
      </c>
      <c r="N11" s="263">
        <f t="shared" si="3"/>
        <v>31300.939999999995</v>
      </c>
      <c r="O11" s="348">
        <f t="shared" si="3"/>
        <v>442081.86</v>
      </c>
      <c r="P11" s="346"/>
    </row>
    <row r="12" spans="1:17">
      <c r="A12" s="126"/>
      <c r="B12" s="155" t="s">
        <v>1223</v>
      </c>
      <c r="C12" s="257">
        <v>784</v>
      </c>
      <c r="D12" s="347">
        <v>87637.354999999996</v>
      </c>
      <c r="E12" s="263">
        <v>92456.1</v>
      </c>
      <c r="F12" s="263">
        <v>6295.5199999999995</v>
      </c>
      <c r="G12" s="347">
        <f t="shared" si="2"/>
        <v>98751.62000000001</v>
      </c>
      <c r="H12" s="344">
        <f t="shared" si="1"/>
        <v>1.126821091302904</v>
      </c>
      <c r="I12" s="126"/>
      <c r="J12" s="127">
        <v>6</v>
      </c>
      <c r="K12" s="258">
        <f>AVERAGE($C$7:C12)</f>
        <v>780.33333333333337</v>
      </c>
      <c r="L12" s="262">
        <f t="shared" si="3"/>
        <v>525834.91499999992</v>
      </c>
      <c r="M12" s="263">
        <f t="shared" si="3"/>
        <v>503237.02</v>
      </c>
      <c r="N12" s="263">
        <f t="shared" si="3"/>
        <v>37596.459999999992</v>
      </c>
      <c r="O12" s="348">
        <f t="shared" si="3"/>
        <v>540833.48</v>
      </c>
      <c r="P12" s="346"/>
    </row>
    <row r="13" spans="1:17">
      <c r="A13" s="126"/>
      <c r="B13" s="168" t="s">
        <v>1224</v>
      </c>
      <c r="C13" s="257">
        <v>788</v>
      </c>
      <c r="D13" s="347">
        <v>87817.03</v>
      </c>
      <c r="E13" s="263">
        <v>64855.27</v>
      </c>
      <c r="F13" s="263">
        <v>6327.6399999999994</v>
      </c>
      <c r="G13" s="347">
        <f t="shared" si="2"/>
        <v>71182.91</v>
      </c>
      <c r="H13" s="344">
        <f t="shared" si="1"/>
        <v>0.81058207047084152</v>
      </c>
      <c r="I13" s="126"/>
      <c r="J13" s="127">
        <v>7</v>
      </c>
      <c r="K13" s="258">
        <f>AVERAGE($C$7:C13)</f>
        <v>781.42857142857144</v>
      </c>
      <c r="L13" s="262">
        <f t="shared" si="3"/>
        <v>613651.94499999995</v>
      </c>
      <c r="M13" s="263">
        <f t="shared" si="3"/>
        <v>568092.29</v>
      </c>
      <c r="N13" s="263">
        <f t="shared" si="3"/>
        <v>43924.099999999991</v>
      </c>
      <c r="O13" s="348">
        <f t="shared" si="3"/>
        <v>612016.39</v>
      </c>
      <c r="P13" s="346"/>
    </row>
    <row r="14" spans="1:17">
      <c r="A14" s="126"/>
      <c r="B14" s="168" t="s">
        <v>1225</v>
      </c>
      <c r="C14" s="257">
        <v>801</v>
      </c>
      <c r="D14" s="347">
        <v>88862.584999999992</v>
      </c>
      <c r="E14" s="263">
        <v>88289.64</v>
      </c>
      <c r="F14" s="263">
        <v>6432.03</v>
      </c>
      <c r="G14" s="347">
        <f t="shared" si="2"/>
        <v>94721.67</v>
      </c>
      <c r="H14" s="344">
        <f t="shared" si="1"/>
        <v>1.0659342174212016</v>
      </c>
      <c r="I14" s="126"/>
      <c r="J14" s="127">
        <v>8</v>
      </c>
      <c r="K14" s="258">
        <f>AVERAGE($C$7:C14)</f>
        <v>783.875</v>
      </c>
      <c r="L14" s="262">
        <f t="shared" si="3"/>
        <v>702514.52999999991</v>
      </c>
      <c r="M14" s="263">
        <f t="shared" si="3"/>
        <v>656381.93000000005</v>
      </c>
      <c r="N14" s="263">
        <f t="shared" si="3"/>
        <v>50356.12999999999</v>
      </c>
      <c r="O14" s="348">
        <f t="shared" si="3"/>
        <v>706738.06</v>
      </c>
      <c r="P14" s="346"/>
    </row>
    <row r="15" spans="1:17">
      <c r="A15" s="126"/>
      <c r="B15" s="168" t="s">
        <v>1226</v>
      </c>
      <c r="C15" s="257">
        <v>808</v>
      </c>
      <c r="D15" s="173">
        <v>89296.54</v>
      </c>
      <c r="E15" s="261">
        <v>80587.14</v>
      </c>
      <c r="F15" s="261">
        <v>6488.24</v>
      </c>
      <c r="G15" s="173">
        <f t="shared" si="2"/>
        <v>87075.38</v>
      </c>
      <c r="H15" s="344">
        <f t="shared" si="1"/>
        <v>0.97512602391985193</v>
      </c>
      <c r="I15" s="126"/>
      <c r="J15" s="127">
        <v>9</v>
      </c>
      <c r="K15" s="258">
        <f>AVERAGE($C$7:C15)</f>
        <v>786.55555555555554</v>
      </c>
      <c r="L15" s="262">
        <f t="shared" si="3"/>
        <v>791811.07</v>
      </c>
      <c r="M15" s="263">
        <f t="shared" si="3"/>
        <v>736969.07000000007</v>
      </c>
      <c r="N15" s="263">
        <f t="shared" si="3"/>
        <v>56844.369999999988</v>
      </c>
      <c r="O15" s="348">
        <f t="shared" si="3"/>
        <v>793813.44000000006</v>
      </c>
      <c r="P15" s="346"/>
    </row>
    <row r="16" spans="1:17">
      <c r="A16" s="126"/>
      <c r="B16" s="168" t="s">
        <v>1227</v>
      </c>
      <c r="C16" s="257">
        <v>812</v>
      </c>
      <c r="D16" s="173">
        <v>89500.955000000002</v>
      </c>
      <c r="E16" s="261">
        <v>64108.12</v>
      </c>
      <c r="F16" s="261">
        <v>6520.36</v>
      </c>
      <c r="G16" s="173">
        <f t="shared" si="2"/>
        <v>70628.479999999996</v>
      </c>
      <c r="H16" s="344">
        <f t="shared" si="1"/>
        <v>0.78913660753675752</v>
      </c>
      <c r="I16" s="126"/>
      <c r="J16" s="127">
        <v>10</v>
      </c>
      <c r="K16" s="258">
        <f>AVERAGE($C$7:C16)</f>
        <v>789.1</v>
      </c>
      <c r="L16" s="262">
        <f t="shared" si="3"/>
        <v>881312.02499999991</v>
      </c>
      <c r="M16" s="263">
        <f t="shared" si="3"/>
        <v>801077.19000000006</v>
      </c>
      <c r="N16" s="263">
        <f t="shared" si="3"/>
        <v>63364.729999999989</v>
      </c>
      <c r="O16" s="348">
        <f t="shared" si="3"/>
        <v>864441.92</v>
      </c>
      <c r="P16" s="346"/>
    </row>
    <row r="17" spans="1:23">
      <c r="A17" s="126"/>
      <c r="B17" s="168" t="s">
        <v>1228</v>
      </c>
      <c r="C17" s="257">
        <v>812</v>
      </c>
      <c r="D17" s="173">
        <v>89783.514999999999</v>
      </c>
      <c r="E17" s="261">
        <v>85347.37000000001</v>
      </c>
      <c r="F17" s="261">
        <v>6520.36</v>
      </c>
      <c r="G17" s="173">
        <f t="shared" si="2"/>
        <v>91867.73000000001</v>
      </c>
      <c r="H17" s="344">
        <f t="shared" si="1"/>
        <v>1.023213782619226</v>
      </c>
      <c r="I17" s="126"/>
      <c r="J17" s="127">
        <v>11</v>
      </c>
      <c r="K17" s="258">
        <f>AVERAGE($C$7:C17)</f>
        <v>791.18181818181813</v>
      </c>
      <c r="L17" s="262">
        <f t="shared" si="3"/>
        <v>971095.53999999992</v>
      </c>
      <c r="M17" s="263">
        <f t="shared" si="3"/>
        <v>886424.56</v>
      </c>
      <c r="N17" s="263">
        <f t="shared" si="3"/>
        <v>69885.089999999982</v>
      </c>
      <c r="O17" s="348">
        <f t="shared" si="3"/>
        <v>956309.65</v>
      </c>
      <c r="P17" s="346"/>
    </row>
    <row r="18" spans="1:23" ht="13.5" thickBot="1">
      <c r="A18" s="126"/>
      <c r="B18" s="168" t="s">
        <v>1229</v>
      </c>
      <c r="C18" s="264">
        <v>815</v>
      </c>
      <c r="D18" s="181">
        <v>90017.12</v>
      </c>
      <c r="E18" s="265">
        <v>65584.350000000006</v>
      </c>
      <c r="F18" s="265">
        <v>6544.45</v>
      </c>
      <c r="G18" s="181">
        <f t="shared" si="2"/>
        <v>72128.800000000003</v>
      </c>
      <c r="H18" s="349">
        <f t="shared" si="1"/>
        <v>0.80127869009806141</v>
      </c>
      <c r="I18" s="126"/>
      <c r="J18" s="127">
        <v>12</v>
      </c>
      <c r="K18" s="350">
        <f>AVERAGE($C$7:C18)</f>
        <v>793.16666666666663</v>
      </c>
      <c r="L18" s="266">
        <f t="shared" si="3"/>
        <v>1061112.6599999999</v>
      </c>
      <c r="M18" s="267">
        <f t="shared" si="3"/>
        <v>952008.91</v>
      </c>
      <c r="N18" s="267">
        <f t="shared" si="3"/>
        <v>76429.539999999979</v>
      </c>
      <c r="O18" s="351">
        <f t="shared" si="3"/>
        <v>1028438.4500000001</v>
      </c>
      <c r="P18" s="346"/>
    </row>
    <row r="19" spans="1:23" ht="12.75" customHeight="1" thickTop="1">
      <c r="A19" s="126"/>
      <c r="B19" s="321" t="s">
        <v>1230</v>
      </c>
      <c r="C19" s="257">
        <f>Q49</f>
        <v>828</v>
      </c>
      <c r="D19" s="173">
        <f>P49+P67+P85</f>
        <v>97332.53</v>
      </c>
      <c r="E19" s="261">
        <v>62690.7</v>
      </c>
      <c r="F19" s="261">
        <f>C19*8.43</f>
        <v>6980.04</v>
      </c>
      <c r="G19" s="173">
        <f t="shared" si="2"/>
        <v>69670.739999999991</v>
      </c>
      <c r="H19" s="344">
        <f t="shared" si="1"/>
        <v>0.71580118178372631</v>
      </c>
      <c r="I19" s="126"/>
      <c r="J19" s="127"/>
      <c r="K19" s="203"/>
      <c r="L19" s="203"/>
      <c r="M19" s="203"/>
      <c r="N19" s="203"/>
      <c r="O19" s="203"/>
      <c r="P19" s="192"/>
    </row>
    <row r="20" spans="1:23" ht="12.75" customHeight="1">
      <c r="A20" s="126"/>
      <c r="B20" s="168" t="s">
        <v>1219</v>
      </c>
      <c r="C20" s="257">
        <f>Q50</f>
        <v>824</v>
      </c>
      <c r="D20" s="173">
        <f>P50+P68+P86</f>
        <v>96672.62</v>
      </c>
      <c r="E20" s="261">
        <f>45209+58405.4+7847.02</f>
        <v>111461.42</v>
      </c>
      <c r="F20" s="261">
        <f>C20*8.43</f>
        <v>6946.32</v>
      </c>
      <c r="G20" s="173">
        <f t="shared" si="2"/>
        <v>118407.73999999999</v>
      </c>
      <c r="H20" s="344">
        <f t="shared" si="1"/>
        <v>1.2248322224017514</v>
      </c>
      <c r="I20" s="126"/>
      <c r="J20" s="127"/>
      <c r="K20" s="203"/>
      <c r="L20" s="203"/>
      <c r="M20" s="203"/>
      <c r="N20" s="203"/>
      <c r="O20" s="203"/>
      <c r="P20" s="192"/>
    </row>
    <row r="21" spans="1:23" ht="12.75" customHeight="1">
      <c r="A21" s="126"/>
      <c r="B21" s="168" t="s">
        <v>1220</v>
      </c>
      <c r="C21" s="257">
        <f>Q51</f>
        <v>825</v>
      </c>
      <c r="D21" s="173">
        <f>P51+P69+P87</f>
        <v>96491.274999999994</v>
      </c>
      <c r="E21" s="261">
        <f>42100.32+54784.75+4217.67</f>
        <v>101102.74</v>
      </c>
      <c r="F21" s="261">
        <f>C21*8.43</f>
        <v>6954.75</v>
      </c>
      <c r="G21" s="173">
        <f t="shared" si="2"/>
        <v>108057.49</v>
      </c>
      <c r="H21" s="344">
        <f t="shared" si="1"/>
        <v>1.119867988064206</v>
      </c>
      <c r="I21" s="126"/>
      <c r="J21" s="127"/>
      <c r="K21" s="203"/>
      <c r="L21" s="203"/>
      <c r="M21" s="203"/>
      <c r="N21" s="203"/>
      <c r="O21" s="203"/>
      <c r="P21" s="192"/>
    </row>
    <row r="22" spans="1:23" ht="12.75" customHeight="1">
      <c r="A22" s="126"/>
      <c r="B22" s="168" t="s">
        <v>1221</v>
      </c>
      <c r="C22" s="257">
        <f>Q52</f>
        <v>819</v>
      </c>
      <c r="D22" s="173">
        <f>P52+P70+P88</f>
        <v>95660.950000000012</v>
      </c>
      <c r="E22" s="261">
        <f>35994.45+39497.35+6126.07</f>
        <v>81617.87</v>
      </c>
      <c r="F22" s="261">
        <f>C22*8.43</f>
        <v>6904.17</v>
      </c>
      <c r="G22" s="173">
        <f t="shared" si="2"/>
        <v>88522.04</v>
      </c>
      <c r="H22" s="344">
        <f t="shared" si="1"/>
        <v>0.92537278795579581</v>
      </c>
      <c r="I22" s="126"/>
      <c r="J22" s="127"/>
      <c r="K22" s="203"/>
      <c r="L22" s="203"/>
      <c r="M22" s="203"/>
      <c r="N22" s="203"/>
      <c r="O22" s="203"/>
      <c r="P22" s="192"/>
    </row>
    <row r="23" spans="1:23" ht="12.75" customHeight="1">
      <c r="A23" s="126"/>
      <c r="B23" s="168" t="s">
        <v>1222</v>
      </c>
      <c r="C23" s="257">
        <f>Q53</f>
        <v>825</v>
      </c>
      <c r="D23" s="173">
        <f>P53+P71+P89</f>
        <v>96225.48</v>
      </c>
      <c r="E23" s="263">
        <f>35725.18+43672.6+4627.6</f>
        <v>84025.38</v>
      </c>
      <c r="F23" s="261">
        <f>C23*8.43</f>
        <v>6954.75</v>
      </c>
      <c r="G23" s="173">
        <f t="shared" si="2"/>
        <v>90980.13</v>
      </c>
      <c r="H23" s="344">
        <f t="shared" si="1"/>
        <v>0.9454889702810525</v>
      </c>
      <c r="I23" s="126"/>
      <c r="J23" s="127"/>
      <c r="K23" s="203"/>
      <c r="L23" s="203"/>
      <c r="M23" s="203"/>
      <c r="N23" s="203"/>
      <c r="O23" s="203"/>
      <c r="P23" s="192"/>
    </row>
    <row r="24" spans="1:23" ht="12.75" customHeight="1">
      <c r="A24" s="126"/>
      <c r="B24" s="155" t="s">
        <v>1223</v>
      </c>
      <c r="C24" s="257"/>
      <c r="D24" s="173"/>
      <c r="E24" s="263"/>
      <c r="F24" s="261"/>
      <c r="G24" s="173"/>
      <c r="H24" s="344"/>
      <c r="I24" s="126"/>
      <c r="J24" s="193"/>
      <c r="K24" s="210"/>
      <c r="L24" s="210"/>
      <c r="M24" s="210"/>
      <c r="N24" s="210"/>
      <c r="O24" s="210"/>
      <c r="P24" s="192"/>
    </row>
    <row r="25" spans="1:23" ht="12.75" customHeight="1">
      <c r="A25" s="126"/>
      <c r="B25" s="168" t="s">
        <v>1224</v>
      </c>
      <c r="C25" s="257"/>
      <c r="D25" s="173"/>
      <c r="E25" s="263"/>
      <c r="F25" s="261"/>
      <c r="G25" s="173"/>
      <c r="H25" s="344"/>
      <c r="I25" s="126"/>
      <c r="J25" s="193"/>
      <c r="K25" s="210"/>
      <c r="L25" s="210"/>
      <c r="M25" s="210"/>
      <c r="N25" s="210"/>
      <c r="O25" s="210"/>
      <c r="P25" s="192"/>
    </row>
    <row r="26" spans="1:23" ht="12.75" customHeight="1">
      <c r="A26" s="126"/>
      <c r="B26" s="168" t="s">
        <v>1225</v>
      </c>
      <c r="C26" s="257"/>
      <c r="D26" s="173"/>
      <c r="E26" s="263"/>
      <c r="F26" s="261"/>
      <c r="G26" s="173"/>
      <c r="H26" s="344"/>
      <c r="I26" s="126"/>
      <c r="J26" s="193"/>
      <c r="K26" s="210"/>
      <c r="L26" s="210"/>
      <c r="M26" s="210"/>
      <c r="N26" s="210"/>
      <c r="O26" s="210"/>
      <c r="P26" s="192"/>
    </row>
    <row r="27" spans="1:23" ht="12.75" customHeight="1">
      <c r="A27" s="126"/>
      <c r="B27" s="168" t="s">
        <v>1226</v>
      </c>
      <c r="C27" s="257"/>
      <c r="D27" s="173"/>
      <c r="E27" s="263"/>
      <c r="F27" s="261"/>
      <c r="G27" s="173"/>
      <c r="H27" s="344"/>
      <c r="I27" s="126"/>
      <c r="J27" s="193"/>
      <c r="K27" s="210"/>
      <c r="L27" s="210"/>
      <c r="M27" s="210"/>
      <c r="N27" s="210"/>
      <c r="O27" s="210"/>
      <c r="P27" s="192"/>
    </row>
    <row r="28" spans="1:23" ht="12.75" customHeight="1">
      <c r="A28" s="126"/>
      <c r="B28" s="168" t="s">
        <v>1227</v>
      </c>
      <c r="C28" s="257"/>
      <c r="D28" s="173"/>
      <c r="E28" s="263"/>
      <c r="F28" s="261"/>
      <c r="G28" s="173"/>
      <c r="H28" s="344"/>
      <c r="I28" s="126"/>
      <c r="J28" s="193"/>
      <c r="K28" s="210"/>
      <c r="L28" s="210"/>
      <c r="M28" s="210"/>
      <c r="N28" s="210"/>
      <c r="O28" s="210"/>
      <c r="P28" s="192"/>
    </row>
    <row r="29" spans="1:23" ht="12.75" customHeight="1">
      <c r="A29" s="126"/>
      <c r="B29" s="168" t="s">
        <v>1228</v>
      </c>
      <c r="C29" s="257"/>
      <c r="D29" s="173"/>
      <c r="E29" s="263"/>
      <c r="F29" s="261"/>
      <c r="G29" s="173"/>
      <c r="H29" s="344"/>
      <c r="I29" s="126"/>
      <c r="J29" s="193"/>
      <c r="K29" s="210"/>
      <c r="L29" s="210"/>
      <c r="M29" s="210"/>
      <c r="N29" s="210"/>
      <c r="O29" s="210"/>
      <c r="P29" s="192"/>
    </row>
    <row r="30" spans="1:23" ht="12.75" customHeight="1" thickBot="1">
      <c r="A30" s="126"/>
      <c r="B30" s="198" t="s">
        <v>1229</v>
      </c>
      <c r="C30" s="268"/>
      <c r="D30" s="201"/>
      <c r="E30" s="267"/>
      <c r="F30" s="270"/>
      <c r="G30" s="201"/>
      <c r="H30" s="352"/>
      <c r="I30" s="126"/>
      <c r="J30" s="193"/>
      <c r="K30" s="210"/>
      <c r="L30" s="210"/>
      <c r="M30" s="210"/>
      <c r="N30" s="210"/>
      <c r="O30" s="210"/>
      <c r="P30" s="192"/>
    </row>
    <row r="31" spans="1:23" ht="14.85" customHeight="1">
      <c r="A31" s="202"/>
      <c r="B31" s="203"/>
      <c r="C31" s="204"/>
      <c r="D31" s="204"/>
      <c r="E31" s="204"/>
      <c r="F31" s="204"/>
      <c r="G31" s="204"/>
      <c r="H31" s="204"/>
      <c r="I31" s="191"/>
      <c r="J31" s="194"/>
      <c r="K31" s="194"/>
      <c r="L31" s="194"/>
      <c r="M31" s="205"/>
      <c r="N31" s="193"/>
      <c r="O31" s="195"/>
      <c r="P31" s="195"/>
      <c r="R31" s="195"/>
      <c r="S31" s="196"/>
      <c r="T31" s="195"/>
      <c r="U31" s="195"/>
      <c r="V31" s="195"/>
      <c r="W31" s="197"/>
    </row>
    <row r="32" spans="1:23" ht="12" customHeight="1" thickBot="1">
      <c r="A32" s="206"/>
      <c r="B32" s="207"/>
      <c r="C32" s="353"/>
      <c r="D32" s="353"/>
      <c r="E32" s="353"/>
      <c r="F32" s="353"/>
      <c r="G32" s="353"/>
      <c r="H32" s="353"/>
      <c r="I32" s="353"/>
      <c r="J32" s="378"/>
      <c r="K32" s="378"/>
      <c r="L32" s="379"/>
      <c r="N32" s="193"/>
      <c r="O32" s="210"/>
      <c r="P32" s="210"/>
      <c r="Q32" s="210"/>
      <c r="R32" s="210"/>
      <c r="S32" s="210"/>
      <c r="T32" s="210"/>
      <c r="U32" s="210"/>
      <c r="V32" s="210"/>
      <c r="W32" s="192"/>
    </row>
    <row r="33" spans="1:36" ht="13.35" customHeight="1">
      <c r="A33" s="226"/>
      <c r="B33" s="211" t="s">
        <v>1231</v>
      </c>
      <c r="C33" s="354">
        <f>AVERAGE(C19:C30)</f>
        <v>824.2</v>
      </c>
      <c r="D33" s="212">
        <f>SUM(D19:D30)</f>
        <v>482382.85499999998</v>
      </c>
      <c r="E33" s="355">
        <f>SUM(E19:E30)</f>
        <v>440898.11</v>
      </c>
      <c r="F33" s="355">
        <f>SUM(F19:F30)</f>
        <v>34740.03</v>
      </c>
      <c r="G33" s="212">
        <f>SUM(G19:G30)</f>
        <v>475638.13999999996</v>
      </c>
      <c r="H33" s="356">
        <f>G33/D33</f>
        <v>0.98601792138735933</v>
      </c>
      <c r="I33" s="353"/>
      <c r="J33" s="378"/>
      <c r="K33" s="378"/>
      <c r="L33" s="379"/>
      <c r="N33" s="193"/>
      <c r="O33" s="210"/>
      <c r="P33" s="210"/>
      <c r="Q33" s="210"/>
      <c r="R33" s="210"/>
      <c r="S33" s="210"/>
      <c r="T33" s="210"/>
      <c r="U33" s="210"/>
      <c r="V33" s="210"/>
      <c r="W33" s="192"/>
    </row>
    <row r="34" spans="1:36" ht="13.35" customHeight="1">
      <c r="A34" s="226"/>
      <c r="B34" s="214" t="s">
        <v>1232</v>
      </c>
      <c r="C34" s="357">
        <f>((LOOKUP($K$2,$J$7:$J$18,K7:K18)))</f>
        <v>779.6</v>
      </c>
      <c r="D34" s="272">
        <f>((LOOKUP($K$2,$J$7:$J$18,L7:L18)))</f>
        <v>438197.55999999994</v>
      </c>
      <c r="E34" s="273">
        <f>((LOOKUP($K$2,$J$7:$J$18,M7:M18)))</f>
        <v>410780.92000000004</v>
      </c>
      <c r="F34" s="273">
        <f>((LOOKUP($K$2,$J$7:$J$18,N7:N18)))</f>
        <v>31300.939999999995</v>
      </c>
      <c r="G34" s="272">
        <f>((LOOKUP($K$2,$J$7:$J$18,O7:O18)))</f>
        <v>442081.86</v>
      </c>
      <c r="H34" s="358">
        <f>G34/D34</f>
        <v>1.0088642666107042</v>
      </c>
      <c r="I34" s="359"/>
      <c r="J34" s="382"/>
      <c r="K34" s="382"/>
      <c r="L34" s="379"/>
      <c r="N34" s="193"/>
      <c r="O34" s="210"/>
      <c r="P34" s="210"/>
      <c r="Q34" s="210"/>
      <c r="R34" s="210"/>
      <c r="S34" s="210"/>
      <c r="T34" s="210"/>
      <c r="U34" s="210"/>
      <c r="V34" s="210"/>
      <c r="W34" s="192"/>
    </row>
    <row r="35" spans="1:36" ht="13.35" customHeight="1" thickBot="1">
      <c r="A35" s="226"/>
      <c r="B35" s="217" t="s">
        <v>1233</v>
      </c>
      <c r="C35" s="218">
        <f t="shared" ref="C35:H35" si="4">(C33/C34)-1</f>
        <v>5.7208825038481237E-2</v>
      </c>
      <c r="D35" s="219">
        <f t="shared" si="4"/>
        <v>0.1008341876664034</v>
      </c>
      <c r="E35" s="218">
        <f t="shared" si="4"/>
        <v>7.3316915498411905E-2</v>
      </c>
      <c r="F35" s="218">
        <f t="shared" si="4"/>
        <v>0.10987178020851784</v>
      </c>
      <c r="G35" s="219">
        <f t="shared" si="4"/>
        <v>7.590512761595769E-2</v>
      </c>
      <c r="H35" s="360">
        <f t="shared" si="4"/>
        <v>-2.2645608511933424E-2</v>
      </c>
      <c r="I35" s="361"/>
      <c r="J35" s="379"/>
      <c r="K35" s="379"/>
      <c r="L35" s="379"/>
      <c r="N35" s="193"/>
      <c r="O35" s="210"/>
      <c r="P35" s="210"/>
      <c r="Q35" s="210"/>
      <c r="R35" s="210"/>
      <c r="S35" s="210"/>
      <c r="T35" s="210"/>
      <c r="U35" s="210"/>
      <c r="V35" s="210"/>
      <c r="W35" s="192"/>
    </row>
    <row r="36" spans="1:36" ht="13.35" customHeight="1">
      <c r="A36" s="202"/>
      <c r="B36" s="202"/>
      <c r="C36" s="207" t="s">
        <v>1234</v>
      </c>
      <c r="D36" s="204"/>
      <c r="E36" s="204"/>
      <c r="F36" s="204"/>
      <c r="G36" s="191"/>
      <c r="H36" s="191"/>
      <c r="I36" s="191"/>
      <c r="J36" s="194"/>
      <c r="K36" s="194"/>
      <c r="L36" s="194"/>
      <c r="N36" s="193"/>
      <c r="O36" s="210"/>
      <c r="P36" s="210"/>
      <c r="Q36" s="210"/>
      <c r="R36" s="210"/>
      <c r="S36" s="210"/>
      <c r="T36" s="210"/>
      <c r="U36" s="210"/>
      <c r="V36" s="210"/>
      <c r="W36" s="192"/>
    </row>
    <row r="37" spans="1:36" ht="13.35" customHeight="1" thickBot="1">
      <c r="A37" s="206"/>
      <c r="B37" s="206"/>
      <c r="C37" s="204"/>
      <c r="D37" s="204"/>
      <c r="E37" s="204"/>
      <c r="F37" s="204"/>
      <c r="G37" s="191"/>
      <c r="H37" s="191"/>
      <c r="I37" s="191"/>
      <c r="J37" s="194"/>
      <c r="K37" s="194"/>
      <c r="L37" s="194"/>
      <c r="N37" s="193"/>
      <c r="O37" s="210"/>
      <c r="P37" s="210"/>
      <c r="Q37" s="210"/>
      <c r="R37" s="210"/>
      <c r="S37" s="210"/>
      <c r="T37" s="210"/>
      <c r="U37" s="210"/>
      <c r="V37" s="210"/>
      <c r="W37" s="192"/>
    </row>
    <row r="38" spans="1:36" ht="13.35" customHeight="1" thickBot="1">
      <c r="A38" s="226"/>
      <c r="B38" s="222" t="s">
        <v>1235</v>
      </c>
      <c r="C38" s="362">
        <f>AVERAGE(C7:C18)</f>
        <v>793.16666666666663</v>
      </c>
      <c r="D38" s="223">
        <f>SUM(D7:D18)</f>
        <v>1061112.6599999999</v>
      </c>
      <c r="E38" s="363">
        <f>SUM(E7:E18)</f>
        <v>952008.91</v>
      </c>
      <c r="F38" s="363">
        <f>SUM(F7:F18)</f>
        <v>76429.539999999979</v>
      </c>
      <c r="G38" s="223">
        <f>SUM(G7:G18)</f>
        <v>1028438.4500000001</v>
      </c>
      <c r="H38" s="364">
        <f>G38/D38</f>
        <v>0.96920759573257764</v>
      </c>
      <c r="I38" s="353"/>
      <c r="J38" s="378"/>
      <c r="K38" s="378"/>
      <c r="L38" s="379"/>
      <c r="N38" s="193"/>
      <c r="O38" s="210"/>
      <c r="P38" s="210"/>
      <c r="Q38" s="210"/>
      <c r="R38" s="210"/>
      <c r="S38" s="210"/>
      <c r="T38" s="210"/>
      <c r="U38" s="210"/>
      <c r="V38" s="210"/>
      <c r="W38" s="192"/>
    </row>
    <row r="39" spans="1:36" ht="13.35" customHeight="1">
      <c r="A39" s="226"/>
      <c r="B39" s="365"/>
      <c r="C39" s="207" t="s">
        <v>1234</v>
      </c>
      <c r="D39" s="353"/>
      <c r="E39" s="353"/>
      <c r="F39" s="353"/>
      <c r="G39" s="353"/>
      <c r="H39" s="353"/>
      <c r="I39" s="353"/>
      <c r="J39" s="378"/>
      <c r="K39" s="378"/>
      <c r="L39" s="379"/>
      <c r="N39" s="193"/>
      <c r="O39" s="210"/>
      <c r="P39" s="210"/>
      <c r="Q39" s="210"/>
      <c r="R39" s="210"/>
      <c r="S39" s="210"/>
      <c r="T39" s="210"/>
      <c r="U39" s="210"/>
      <c r="V39" s="210"/>
      <c r="W39" s="192"/>
    </row>
    <row r="40" spans="1:36" ht="13.35" customHeight="1">
      <c r="A40" s="226"/>
      <c r="B40" s="365"/>
      <c r="C40" s="353"/>
      <c r="D40" s="353"/>
      <c r="E40" s="353"/>
      <c r="F40" s="353"/>
      <c r="G40" s="353"/>
      <c r="H40" s="353"/>
      <c r="I40" s="353"/>
      <c r="J40" s="378"/>
      <c r="K40" s="378"/>
      <c r="L40" s="379"/>
      <c r="N40" s="193"/>
      <c r="O40" s="210"/>
      <c r="P40" s="210"/>
      <c r="Q40" s="210"/>
      <c r="R40" s="210"/>
      <c r="S40" s="210"/>
      <c r="T40" s="210"/>
      <c r="U40" s="210"/>
      <c r="V40" s="210"/>
      <c r="W40" s="192"/>
    </row>
    <row r="41" spans="1:36" ht="13.35" customHeight="1" thickBot="1">
      <c r="A41" s="227"/>
      <c r="B41" s="227" t="s">
        <v>1236</v>
      </c>
      <c r="C41" s="353"/>
      <c r="D41" s="353"/>
      <c r="E41" s="353"/>
      <c r="F41" s="353"/>
      <c r="G41" s="353"/>
      <c r="H41" s="353"/>
      <c r="I41" s="353"/>
      <c r="J41" s="378"/>
      <c r="K41" s="378"/>
      <c r="L41" s="379"/>
      <c r="N41" s="193"/>
      <c r="O41" s="210"/>
      <c r="P41" s="210"/>
      <c r="Q41" s="210"/>
      <c r="R41" s="210"/>
      <c r="S41" s="210"/>
      <c r="T41" s="210"/>
      <c r="U41" s="210"/>
      <c r="V41" s="210"/>
      <c r="W41" s="192"/>
    </row>
    <row r="42" spans="1:36" s="231" customFormat="1" ht="13.35" customHeight="1">
      <c r="A42" s="226"/>
      <c r="B42" s="366" t="s">
        <v>1237</v>
      </c>
      <c r="C42" s="367">
        <f ca="1">AVERAGE(OFFSET(C7,COUNT(C8:C30),0,-3))</f>
        <v>823</v>
      </c>
      <c r="D42" s="274">
        <f ca="1">SUM(OFFSET(D7,COUNT(D8:D30),0,-3))</f>
        <v>288377.70500000002</v>
      </c>
      <c r="E42" s="230">
        <f ca="1">SUM(OFFSET(E7,COUNT(E8:E30),0,-3))</f>
        <v>266745.99</v>
      </c>
      <c r="F42" s="230">
        <f ca="1">SUM(OFFSET(F7,COUNT(F8:F30),0,-3))</f>
        <v>20813.669999999998</v>
      </c>
      <c r="G42" s="274">
        <f ca="1">SUM(OFFSET(G7,COUNT(G8:G30),0,-3))</f>
        <v>287559.66000000003</v>
      </c>
      <c r="H42" s="368">
        <f ca="1">G42/D42</f>
        <v>0.99716328625335315</v>
      </c>
      <c r="I42" s="359"/>
      <c r="J42" s="382"/>
      <c r="K42" s="385"/>
      <c r="L42" s="379"/>
      <c r="N42" s="193"/>
      <c r="O42" s="210"/>
      <c r="P42" s="210"/>
      <c r="Q42" s="210"/>
      <c r="R42" s="210"/>
      <c r="S42" s="210"/>
      <c r="T42" s="210"/>
      <c r="U42" s="210"/>
      <c r="V42" s="210"/>
      <c r="W42" s="192"/>
    </row>
    <row r="43" spans="1:36" ht="13.35" customHeight="1">
      <c r="A43" s="226"/>
      <c r="B43" s="369" t="s">
        <v>1238</v>
      </c>
      <c r="C43" s="370">
        <f ca="1">AVERAGE(OFFSET(C7,COUNT(C8:C30),0,-6))</f>
        <v>822.66666666666663</v>
      </c>
      <c r="D43" s="371">
        <f ca="1">SUM(OFFSET(D7,COUNT(D8:D30),0,-6))</f>
        <v>572399.97500000009</v>
      </c>
      <c r="E43" s="235">
        <f ca="1">SUM(OFFSET(E7,COUNT(E8:E30),0,-6))</f>
        <v>506482.46</v>
      </c>
      <c r="F43" s="236">
        <f ca="1">SUM(OFFSET(F7,COUNT(F8:F30),0,-6))</f>
        <v>41284.479999999996</v>
      </c>
      <c r="G43" s="233">
        <f ca="1">SUM(OFFSET(G7,COUNT(G8:G30),0,-6))</f>
        <v>547766.93999999994</v>
      </c>
      <c r="H43" s="358">
        <f ca="1">G43/D43</f>
        <v>0.95696534577940862</v>
      </c>
      <c r="I43" s="237"/>
      <c r="J43" s="385"/>
      <c r="K43" s="385"/>
      <c r="L43" s="379"/>
      <c r="N43" s="193"/>
      <c r="O43" s="210"/>
      <c r="P43" s="210"/>
      <c r="Q43" s="210"/>
      <c r="R43" s="210"/>
      <c r="S43" s="210"/>
      <c r="T43" s="210"/>
      <c r="U43" s="210"/>
      <c r="V43" s="210"/>
      <c r="W43" s="192"/>
    </row>
    <row r="44" spans="1:36" ht="13.35" customHeight="1" thickBot="1">
      <c r="A44" s="226"/>
      <c r="B44" s="372" t="s">
        <v>1239</v>
      </c>
      <c r="C44" s="373">
        <f ca="1">AVERAGE(OFFSET(C7,COUNT(C8:C30),0,-12))</f>
        <v>811.75</v>
      </c>
      <c r="D44" s="374">
        <f ca="1">SUM(OFFSET(D7,COUNT(D8:D30),0,-12))</f>
        <v>1105297.9550000001</v>
      </c>
      <c r="E44" s="242">
        <f ca="1">SUM(OFFSET(E7,COUNT(E8:E30),0,-12))</f>
        <v>982126.1</v>
      </c>
      <c r="F44" s="243">
        <f ca="1">SUM(OFFSET(F7,COUNT(F8:F30),0,-12))</f>
        <v>79868.62999999999</v>
      </c>
      <c r="G44" s="240">
        <f ca="1">SUM(OFFSET(G7,COUNT(G8:G30),0,-12))</f>
        <v>1061994.73</v>
      </c>
      <c r="H44" s="375">
        <f ca="1">G44/D44</f>
        <v>0.96082212510743303</v>
      </c>
      <c r="I44" s="237"/>
      <c r="J44" s="385"/>
      <c r="K44" s="385"/>
      <c r="L44" s="379"/>
      <c r="N44" s="193"/>
      <c r="O44" s="210"/>
      <c r="P44" s="210"/>
      <c r="Q44" s="210"/>
      <c r="R44" s="210"/>
      <c r="S44" s="210"/>
      <c r="T44" s="210"/>
      <c r="U44" s="210"/>
      <c r="V44" s="210"/>
      <c r="W44" s="192"/>
    </row>
    <row r="45" spans="1:36" ht="14.25" customHeight="1">
      <c r="A45" s="202"/>
      <c r="B45" s="365"/>
      <c r="C45" s="207" t="s">
        <v>1234</v>
      </c>
      <c r="D45" s="244"/>
      <c r="E45" s="204"/>
      <c r="F45" s="204"/>
      <c r="G45" s="191"/>
      <c r="H45" s="191"/>
      <c r="I45" s="191"/>
      <c r="J45" s="194"/>
      <c r="K45" s="194"/>
      <c r="L45" s="194"/>
      <c r="N45" s="193"/>
      <c r="O45" s="210"/>
      <c r="P45" s="210"/>
      <c r="Q45" s="210"/>
      <c r="R45" s="210"/>
      <c r="S45" s="210"/>
      <c r="T45" s="210"/>
      <c r="U45" s="210"/>
      <c r="V45" s="210"/>
      <c r="W45" s="192"/>
    </row>
    <row r="46" spans="1:36" s="247" customFormat="1" ht="14.25" customHeight="1">
      <c r="A46" s="126"/>
      <c r="B46" s="275"/>
      <c r="C46" s="260"/>
      <c r="D46" s="260"/>
      <c r="E46" s="260"/>
      <c r="F46" s="137"/>
      <c r="G46" s="137"/>
      <c r="H46" s="137"/>
      <c r="I46" s="126"/>
      <c r="J46" s="193"/>
      <c r="K46" s="193"/>
      <c r="L46" s="193"/>
      <c r="M46" s="125"/>
      <c r="N46" s="125"/>
      <c r="O46" s="125"/>
      <c r="P46" s="125"/>
      <c r="Q46" s="19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</row>
    <row r="47" spans="1:36" ht="14.25" customHeight="1" thickBot="1">
      <c r="A47" s="1156" t="s">
        <v>1247</v>
      </c>
      <c r="B47" s="1156"/>
      <c r="C47" s="1157" t="s">
        <v>1248</v>
      </c>
      <c r="D47" s="1157"/>
      <c r="E47" s="1157"/>
      <c r="F47" s="1157"/>
      <c r="G47" s="1157"/>
      <c r="H47" s="136"/>
      <c r="J47" s="632" t="s">
        <v>1247</v>
      </c>
      <c r="K47" s="632"/>
      <c r="L47" s="205"/>
      <c r="M47" s="633"/>
      <c r="N47" s="1157" t="s">
        <v>1249</v>
      </c>
      <c r="O47" s="1157"/>
      <c r="P47" s="1157"/>
      <c r="Q47" s="195" t="s">
        <v>1250</v>
      </c>
    </row>
    <row r="48" spans="1:36" ht="14.25" customHeight="1">
      <c r="A48" s="598"/>
      <c r="B48" s="599" t="s">
        <v>11</v>
      </c>
      <c r="C48" s="599" t="s">
        <v>12</v>
      </c>
      <c r="D48" s="599" t="s">
        <v>1251</v>
      </c>
      <c r="E48" s="599" t="s">
        <v>1252</v>
      </c>
      <c r="F48" s="599" t="s">
        <v>88</v>
      </c>
      <c r="G48" s="600" t="s">
        <v>1253</v>
      </c>
      <c r="H48" s="136"/>
      <c r="J48" s="598"/>
      <c r="K48" s="599" t="s">
        <v>11</v>
      </c>
      <c r="L48" s="599" t="s">
        <v>12</v>
      </c>
      <c r="M48" s="599" t="s">
        <v>1251</v>
      </c>
      <c r="N48" s="599" t="s">
        <v>1252</v>
      </c>
      <c r="O48" s="599" t="s">
        <v>88</v>
      </c>
      <c r="P48" s="600" t="s">
        <v>1253</v>
      </c>
    </row>
    <row r="49" spans="1:17" ht="14.25" customHeight="1">
      <c r="A49" s="601">
        <v>43831</v>
      </c>
      <c r="B49" s="602">
        <v>81</v>
      </c>
      <c r="C49" s="602">
        <v>65</v>
      </c>
      <c r="D49" s="602">
        <v>28</v>
      </c>
      <c r="E49" s="602">
        <v>109</v>
      </c>
      <c r="F49" s="603">
        <f>SUM(B49:E49)</f>
        <v>283</v>
      </c>
      <c r="G49" s="604">
        <f>(B49*B$61)+(C49*C$61)+(D49*D$61)+(E49*E$61)</f>
        <v>27192.145</v>
      </c>
      <c r="H49" s="1155"/>
      <c r="I49" s="1155"/>
      <c r="J49" s="1155"/>
      <c r="K49" s="602">
        <v>111</v>
      </c>
      <c r="L49" s="602">
        <v>87</v>
      </c>
      <c r="M49" s="602">
        <v>40</v>
      </c>
      <c r="N49" s="602">
        <v>128</v>
      </c>
      <c r="O49" s="603">
        <f>SUM(K49:N49)</f>
        <v>366</v>
      </c>
      <c r="P49" s="604">
        <f>(K49*K$61)+(L49*L$61)+(M49*M$61)+(N49*N$61)</f>
        <v>41331.764999999999</v>
      </c>
      <c r="Q49" s="195">
        <f>O49+O67+O85</f>
        <v>828</v>
      </c>
    </row>
    <row r="50" spans="1:17" ht="14.25" customHeight="1">
      <c r="A50" s="605" t="s">
        <v>1219</v>
      </c>
      <c r="B50" s="602">
        <v>78</v>
      </c>
      <c r="C50" s="602">
        <v>65</v>
      </c>
      <c r="D50" s="602">
        <v>30</v>
      </c>
      <c r="E50" s="602">
        <v>107</v>
      </c>
      <c r="F50" s="603">
        <f>SUM(B50:E50)</f>
        <v>280</v>
      </c>
      <c r="G50" s="604">
        <f t="shared" ref="G50:G60" si="5">(B50*B$61)+(C50*C$61)+(D50*D$61)+(E50*E$61)</f>
        <v>26985.065000000002</v>
      </c>
      <c r="H50" s="125">
        <f t="shared" ref="H50:H60" si="6">F50+F68+F86</f>
        <v>701</v>
      </c>
      <c r="J50" s="605" t="s">
        <v>1219</v>
      </c>
      <c r="K50" s="602">
        <v>113</v>
      </c>
      <c r="L50" s="602">
        <v>87</v>
      </c>
      <c r="M50" s="602">
        <v>39</v>
      </c>
      <c r="N50" s="602">
        <v>128</v>
      </c>
      <c r="O50" s="603">
        <f>SUM(K50:N50)</f>
        <v>367</v>
      </c>
      <c r="P50" s="604">
        <f t="shared" ref="P50:P60" si="7">(K50*K$61)+(L50*L$61)+(M50*M$61)+(N50*N$61)</f>
        <v>41314.924999999996</v>
      </c>
      <c r="Q50" s="195">
        <f t="shared" ref="Q50:Q60" si="8">O50+O68+O86</f>
        <v>824</v>
      </c>
    </row>
    <row r="51" spans="1:17" ht="15">
      <c r="A51" s="605" t="s">
        <v>1220</v>
      </c>
      <c r="B51" s="602">
        <v>76</v>
      </c>
      <c r="C51" s="602">
        <v>69</v>
      </c>
      <c r="D51" s="602">
        <v>30</v>
      </c>
      <c r="E51" s="602">
        <v>107</v>
      </c>
      <c r="F51" s="603">
        <f>SUM(B51:E51)</f>
        <v>282</v>
      </c>
      <c r="G51" s="604">
        <f t="shared" si="5"/>
        <v>27216.485000000001</v>
      </c>
      <c r="H51" s="125">
        <f t="shared" si="6"/>
        <v>700</v>
      </c>
      <c r="J51" s="605" t="s">
        <v>1220</v>
      </c>
      <c r="K51" s="602">
        <v>116</v>
      </c>
      <c r="L51" s="602">
        <v>86</v>
      </c>
      <c r="M51" s="602">
        <v>39</v>
      </c>
      <c r="N51" s="602">
        <v>129</v>
      </c>
      <c r="O51" s="603">
        <f>SUM(K51:N51)</f>
        <v>370</v>
      </c>
      <c r="P51" s="604">
        <f t="shared" si="7"/>
        <v>41552.154999999999</v>
      </c>
      <c r="Q51" s="195">
        <f t="shared" si="8"/>
        <v>825</v>
      </c>
    </row>
    <row r="52" spans="1:17" ht="15">
      <c r="A52" s="605" t="s">
        <v>1221</v>
      </c>
      <c r="B52" s="602">
        <v>79</v>
      </c>
      <c r="C52" s="602">
        <v>70</v>
      </c>
      <c r="D52" s="602">
        <v>31</v>
      </c>
      <c r="E52" s="602">
        <v>105</v>
      </c>
      <c r="F52" s="603">
        <f t="shared" ref="F52:F60" si="9">SUM(B52:E52)</f>
        <v>285</v>
      </c>
      <c r="G52" s="604">
        <f t="shared" si="5"/>
        <v>27258.915000000001</v>
      </c>
      <c r="H52" s="125">
        <f t="shared" si="6"/>
        <v>705</v>
      </c>
      <c r="J52" s="605" t="s">
        <v>1221</v>
      </c>
      <c r="K52" s="602">
        <v>120</v>
      </c>
      <c r="L52" s="602">
        <v>84</v>
      </c>
      <c r="M52" s="602">
        <v>38</v>
      </c>
      <c r="N52" s="602">
        <v>128</v>
      </c>
      <c r="O52" s="603">
        <f t="shared" ref="O52:O60" si="10">SUM(K52:N52)</f>
        <v>370</v>
      </c>
      <c r="P52" s="604">
        <f t="shared" si="7"/>
        <v>41281.58</v>
      </c>
      <c r="Q52" s="195">
        <f t="shared" si="8"/>
        <v>819</v>
      </c>
    </row>
    <row r="53" spans="1:17" ht="15">
      <c r="A53" s="605" t="s">
        <v>1222</v>
      </c>
      <c r="B53" s="602">
        <v>77</v>
      </c>
      <c r="C53" s="602">
        <v>67</v>
      </c>
      <c r="D53" s="602">
        <v>31</v>
      </c>
      <c r="E53" s="602">
        <v>110</v>
      </c>
      <c r="F53" s="603">
        <f t="shared" si="9"/>
        <v>285</v>
      </c>
      <c r="G53" s="604">
        <f t="shared" si="5"/>
        <v>27627.11</v>
      </c>
      <c r="H53" s="125">
        <f t="shared" si="6"/>
        <v>703</v>
      </c>
      <c r="J53" s="605" t="s">
        <v>1222</v>
      </c>
      <c r="K53" s="602">
        <v>122</v>
      </c>
      <c r="L53" s="602">
        <v>84</v>
      </c>
      <c r="M53" s="602">
        <v>38</v>
      </c>
      <c r="N53" s="602">
        <v>129</v>
      </c>
      <c r="O53" s="603">
        <f t="shared" si="10"/>
        <v>373</v>
      </c>
      <c r="P53" s="604">
        <f t="shared" si="7"/>
        <v>41561.044999999998</v>
      </c>
      <c r="Q53" s="195">
        <f t="shared" si="8"/>
        <v>825</v>
      </c>
    </row>
    <row r="54" spans="1:17" ht="15">
      <c r="A54" s="606" t="s">
        <v>1223</v>
      </c>
      <c r="B54" s="602">
        <v>78</v>
      </c>
      <c r="C54" s="602">
        <v>68</v>
      </c>
      <c r="D54" s="602">
        <v>31</v>
      </c>
      <c r="E54" s="602">
        <v>109</v>
      </c>
      <c r="F54" s="603">
        <f t="shared" si="9"/>
        <v>286</v>
      </c>
      <c r="G54" s="604">
        <f t="shared" si="5"/>
        <v>27613.165000000001</v>
      </c>
      <c r="H54" s="125">
        <f t="shared" si="6"/>
        <v>700</v>
      </c>
      <c r="J54" s="606" t="s">
        <v>1223</v>
      </c>
      <c r="K54" s="602"/>
      <c r="L54" s="602"/>
      <c r="M54" s="602"/>
      <c r="N54" s="602"/>
      <c r="O54" s="603">
        <f t="shared" si="10"/>
        <v>0</v>
      </c>
      <c r="P54" s="604">
        <f t="shared" si="7"/>
        <v>0</v>
      </c>
      <c r="Q54" s="195">
        <f t="shared" si="8"/>
        <v>0</v>
      </c>
    </row>
    <row r="55" spans="1:17" ht="15">
      <c r="A55" s="605" t="s">
        <v>1254</v>
      </c>
      <c r="B55" s="602">
        <v>78</v>
      </c>
      <c r="C55" s="602">
        <v>68</v>
      </c>
      <c r="D55" s="602">
        <v>32</v>
      </c>
      <c r="E55" s="602">
        <v>105</v>
      </c>
      <c r="F55" s="603">
        <f t="shared" si="9"/>
        <v>283</v>
      </c>
      <c r="G55" s="604">
        <f t="shared" si="5"/>
        <v>27157.154999999999</v>
      </c>
      <c r="H55" s="125">
        <f t="shared" si="6"/>
        <v>699</v>
      </c>
      <c r="J55" s="605" t="s">
        <v>1254</v>
      </c>
      <c r="K55" s="602"/>
      <c r="L55" s="602"/>
      <c r="M55" s="602"/>
      <c r="N55" s="602"/>
      <c r="O55" s="603">
        <f t="shared" si="10"/>
        <v>0</v>
      </c>
      <c r="P55" s="604">
        <f t="shared" si="7"/>
        <v>0</v>
      </c>
      <c r="Q55" s="195">
        <f t="shared" si="8"/>
        <v>0</v>
      </c>
    </row>
    <row r="56" spans="1:17" ht="15">
      <c r="A56" s="605" t="s">
        <v>1225</v>
      </c>
      <c r="B56" s="602">
        <v>80</v>
      </c>
      <c r="C56" s="602">
        <v>69</v>
      </c>
      <c r="D56" s="602">
        <v>32</v>
      </c>
      <c r="E56" s="602">
        <v>103</v>
      </c>
      <c r="F56" s="603">
        <f t="shared" si="9"/>
        <v>284</v>
      </c>
      <c r="G56" s="604">
        <f t="shared" si="5"/>
        <v>27048.565000000002</v>
      </c>
      <c r="H56" s="125">
        <f t="shared" si="6"/>
        <v>700</v>
      </c>
      <c r="J56" s="605" t="s">
        <v>1225</v>
      </c>
      <c r="K56" s="602"/>
      <c r="L56" s="602"/>
      <c r="M56" s="602"/>
      <c r="N56" s="602"/>
      <c r="O56" s="603">
        <f t="shared" si="10"/>
        <v>0</v>
      </c>
      <c r="P56" s="604">
        <f t="shared" si="7"/>
        <v>0</v>
      </c>
      <c r="Q56" s="195">
        <f t="shared" si="8"/>
        <v>0</v>
      </c>
    </row>
    <row r="57" spans="1:17" ht="15">
      <c r="A57" s="605" t="s">
        <v>1226</v>
      </c>
      <c r="B57" s="602">
        <v>79</v>
      </c>
      <c r="C57" s="602">
        <v>69</v>
      </c>
      <c r="D57" s="602">
        <v>31</v>
      </c>
      <c r="E57" s="602">
        <v>103</v>
      </c>
      <c r="F57" s="603">
        <f t="shared" si="9"/>
        <v>282</v>
      </c>
      <c r="G57" s="604">
        <f t="shared" si="5"/>
        <v>26897.544999999998</v>
      </c>
      <c r="H57" s="125">
        <f t="shared" si="6"/>
        <v>696</v>
      </c>
      <c r="J57" s="605" t="s">
        <v>1226</v>
      </c>
      <c r="K57" s="602"/>
      <c r="L57" s="602"/>
      <c r="M57" s="602"/>
      <c r="N57" s="602"/>
      <c r="O57" s="603">
        <f t="shared" si="10"/>
        <v>0</v>
      </c>
      <c r="P57" s="604">
        <f t="shared" si="7"/>
        <v>0</v>
      </c>
      <c r="Q57" s="195">
        <f t="shared" si="8"/>
        <v>0</v>
      </c>
    </row>
    <row r="58" spans="1:17" ht="15">
      <c r="A58" s="605" t="s">
        <v>1227</v>
      </c>
      <c r="B58" s="602">
        <v>77</v>
      </c>
      <c r="C58" s="602">
        <v>72</v>
      </c>
      <c r="D58" s="602">
        <v>31</v>
      </c>
      <c r="E58" s="602">
        <v>103</v>
      </c>
      <c r="F58" s="603">
        <f t="shared" si="9"/>
        <v>283</v>
      </c>
      <c r="G58" s="604">
        <f t="shared" si="5"/>
        <v>27048.264999999999</v>
      </c>
      <c r="H58" s="125">
        <f t="shared" si="6"/>
        <v>696</v>
      </c>
      <c r="J58" s="605" t="s">
        <v>1227</v>
      </c>
      <c r="K58" s="602"/>
      <c r="L58" s="602"/>
      <c r="M58" s="602"/>
      <c r="N58" s="602"/>
      <c r="O58" s="603">
        <f t="shared" si="10"/>
        <v>0</v>
      </c>
      <c r="P58" s="604">
        <f t="shared" si="7"/>
        <v>0</v>
      </c>
      <c r="Q58" s="195">
        <f t="shared" si="8"/>
        <v>0</v>
      </c>
    </row>
    <row r="59" spans="1:17" ht="15">
      <c r="A59" s="605" t="s">
        <v>1228</v>
      </c>
      <c r="B59" s="602">
        <v>77</v>
      </c>
      <c r="C59" s="602">
        <v>72</v>
      </c>
      <c r="D59" s="602">
        <v>29</v>
      </c>
      <c r="E59" s="602">
        <v>105</v>
      </c>
      <c r="F59" s="603">
        <f t="shared" si="9"/>
        <v>283</v>
      </c>
      <c r="G59" s="604">
        <f t="shared" si="5"/>
        <v>27118.275000000001</v>
      </c>
      <c r="H59" s="125">
        <f t="shared" si="6"/>
        <v>693</v>
      </c>
      <c r="J59" s="605" t="s">
        <v>1228</v>
      </c>
      <c r="K59" s="602"/>
      <c r="L59" s="602"/>
      <c r="M59" s="602"/>
      <c r="N59" s="602"/>
      <c r="O59" s="603">
        <f t="shared" si="10"/>
        <v>0</v>
      </c>
      <c r="P59" s="604">
        <f t="shared" si="7"/>
        <v>0</v>
      </c>
      <c r="Q59" s="195">
        <f t="shared" si="8"/>
        <v>0</v>
      </c>
    </row>
    <row r="60" spans="1:17" ht="15.75" thickBot="1">
      <c r="A60" s="607" t="s">
        <v>1229</v>
      </c>
      <c r="B60" s="608">
        <v>76</v>
      </c>
      <c r="C60" s="608">
        <v>73</v>
      </c>
      <c r="D60" s="608">
        <v>27</v>
      </c>
      <c r="E60" s="608">
        <v>105</v>
      </c>
      <c r="F60" s="609">
        <f t="shared" si="9"/>
        <v>281</v>
      </c>
      <c r="G60" s="610">
        <f t="shared" si="5"/>
        <v>26942.625</v>
      </c>
      <c r="H60" s="125">
        <f t="shared" si="6"/>
        <v>684</v>
      </c>
      <c r="J60" s="634" t="s">
        <v>1229</v>
      </c>
      <c r="K60" s="608"/>
      <c r="L60" s="608"/>
      <c r="M60" s="608"/>
      <c r="N60" s="608"/>
      <c r="O60" s="609">
        <f t="shared" si="10"/>
        <v>0</v>
      </c>
      <c r="P60" s="610">
        <f t="shared" si="7"/>
        <v>0</v>
      </c>
      <c r="Q60" s="195">
        <f t="shared" si="8"/>
        <v>0</v>
      </c>
    </row>
    <row r="61" spans="1:17" ht="15">
      <c r="A61" s="611" t="s">
        <v>1255</v>
      </c>
      <c r="B61" s="612">
        <f>(B62+B63)/2</f>
        <v>45.69</v>
      </c>
      <c r="C61" s="613">
        <f>(C62+C63)/2</f>
        <v>80.7</v>
      </c>
      <c r="D61" s="613">
        <f>(D62+D63)/2</f>
        <v>105.33</v>
      </c>
      <c r="E61" s="614">
        <f>(E62+E63)/2</f>
        <v>140.33500000000001</v>
      </c>
      <c r="F61" s="511"/>
      <c r="G61" s="511"/>
      <c r="J61" s="635" t="s">
        <v>1255</v>
      </c>
      <c r="K61" s="636">
        <f>(K62+K63)/2</f>
        <v>55.1</v>
      </c>
      <c r="L61" s="636">
        <f>(L62+L63)/2</f>
        <v>97.334999999999994</v>
      </c>
      <c r="M61" s="636">
        <f>(M62+M63)/2</f>
        <v>127.03999999999999</v>
      </c>
      <c r="N61" s="637">
        <f>(N62+N63)/2</f>
        <v>169.26499999999999</v>
      </c>
      <c r="O61" s="511"/>
      <c r="P61" s="511"/>
    </row>
    <row r="62" spans="1:17" ht="15">
      <c r="A62" s="615" t="s">
        <v>1256</v>
      </c>
      <c r="B62" s="616">
        <v>44.51</v>
      </c>
      <c r="C62" s="617">
        <v>78.62</v>
      </c>
      <c r="D62" s="617">
        <v>102.61</v>
      </c>
      <c r="E62" s="618">
        <v>136.71</v>
      </c>
      <c r="F62" s="511"/>
      <c r="G62" s="511"/>
      <c r="J62" s="638" t="s">
        <v>1256</v>
      </c>
      <c r="K62" s="639">
        <v>53.67</v>
      </c>
      <c r="L62" s="639">
        <v>94.82</v>
      </c>
      <c r="M62" s="639">
        <v>123.76</v>
      </c>
      <c r="N62" s="640">
        <v>164.89</v>
      </c>
      <c r="O62" s="511"/>
      <c r="P62" s="511"/>
    </row>
    <row r="63" spans="1:17" ht="15.75" thickBot="1">
      <c r="A63" s="619" t="s">
        <v>1257</v>
      </c>
      <c r="B63" s="620">
        <v>46.87</v>
      </c>
      <c r="C63" s="621">
        <v>82.78</v>
      </c>
      <c r="D63" s="621">
        <v>108.05</v>
      </c>
      <c r="E63" s="622">
        <v>143.96</v>
      </c>
      <c r="F63" s="511"/>
      <c r="G63" s="511"/>
      <c r="J63" s="641" t="s">
        <v>1257</v>
      </c>
      <c r="K63" s="642">
        <v>56.53</v>
      </c>
      <c r="L63" s="642">
        <v>99.85</v>
      </c>
      <c r="M63" s="642">
        <v>130.32</v>
      </c>
      <c r="N63" s="643">
        <v>173.64</v>
      </c>
      <c r="O63" s="511"/>
      <c r="P63" s="511"/>
    </row>
    <row r="65" spans="1:16" ht="16.5" thickBot="1">
      <c r="A65" s="1156" t="s">
        <v>1258</v>
      </c>
      <c r="B65" s="1156"/>
      <c r="C65" s="1157"/>
      <c r="D65" s="1157"/>
      <c r="E65" s="1157">
        <f>E47</f>
        <v>0</v>
      </c>
      <c r="F65" s="1157"/>
      <c r="G65" s="1157"/>
      <c r="J65" s="632" t="s">
        <v>1258</v>
      </c>
      <c r="K65" s="632"/>
      <c r="L65" s="205"/>
      <c r="M65" s="633"/>
      <c r="N65" s="1157" t="str">
        <f>N47</f>
        <v>2024 Plan Year</v>
      </c>
      <c r="O65" s="1157"/>
      <c r="P65" s="1157"/>
    </row>
    <row r="66" spans="1:16" ht="15">
      <c r="A66" s="598"/>
      <c r="B66" s="599" t="s">
        <v>11</v>
      </c>
      <c r="C66" s="599" t="s">
        <v>12</v>
      </c>
      <c r="D66" s="599" t="s">
        <v>1251</v>
      </c>
      <c r="E66" s="599" t="s">
        <v>1252</v>
      </c>
      <c r="F66" s="599" t="s">
        <v>88</v>
      </c>
      <c r="G66" s="600" t="s">
        <v>1253</v>
      </c>
      <c r="J66" s="598"/>
      <c r="K66" s="599" t="s">
        <v>11</v>
      </c>
      <c r="L66" s="599" t="s">
        <v>12</v>
      </c>
      <c r="M66" s="599" t="s">
        <v>1251</v>
      </c>
      <c r="N66" s="599" t="s">
        <v>1252</v>
      </c>
      <c r="O66" s="599" t="s">
        <v>88</v>
      </c>
      <c r="P66" s="600" t="s">
        <v>1253</v>
      </c>
    </row>
    <row r="67" spans="1:16" ht="15">
      <c r="A67" s="601">
        <v>43831</v>
      </c>
      <c r="B67" s="602">
        <v>80</v>
      </c>
      <c r="C67" s="602">
        <v>74</v>
      </c>
      <c r="D67" s="602">
        <v>22</v>
      </c>
      <c r="E67" s="602">
        <v>180</v>
      </c>
      <c r="F67" s="603">
        <f>SUM(B67:E67)</f>
        <v>356</v>
      </c>
      <c r="G67" s="604">
        <f>(B67*B$79)+(C67*C$79)+(D67*D$79)+(E67*E$79)</f>
        <v>37944.79</v>
      </c>
      <c r="J67" s="601">
        <f>J49</f>
        <v>0</v>
      </c>
      <c r="K67" s="602">
        <v>102</v>
      </c>
      <c r="L67" s="602">
        <v>77</v>
      </c>
      <c r="M67" s="602">
        <v>24</v>
      </c>
      <c r="N67" s="602">
        <v>195</v>
      </c>
      <c r="O67" s="603">
        <f>SUM(K67:N67)</f>
        <v>398</v>
      </c>
      <c r="P67" s="604">
        <f>(K67*K$79)+(L67*L$79)+(M67*M$79)+(N67*N$79)</f>
        <v>50148.945</v>
      </c>
    </row>
    <row r="68" spans="1:16" ht="15">
      <c r="A68" s="605" t="s">
        <v>1219</v>
      </c>
      <c r="B68" s="602">
        <v>80</v>
      </c>
      <c r="C68" s="602">
        <v>72</v>
      </c>
      <c r="D68" s="602">
        <v>22</v>
      </c>
      <c r="E68" s="602">
        <v>182</v>
      </c>
      <c r="F68" s="603">
        <f>SUM(B68:E68)</f>
        <v>356</v>
      </c>
      <c r="G68" s="604">
        <f t="shared" ref="G68:G77" si="11">(B68*B$79)+(C68*C$79)+(D68*D$79)+(E68*E$79)</f>
        <v>38066.42</v>
      </c>
      <c r="J68" s="605" t="s">
        <v>1219</v>
      </c>
      <c r="K68" s="602">
        <v>101</v>
      </c>
      <c r="L68" s="602">
        <v>75</v>
      </c>
      <c r="M68" s="602">
        <v>25</v>
      </c>
      <c r="N68" s="602">
        <v>192</v>
      </c>
      <c r="O68" s="603">
        <f>SUM(K68:N68)</f>
        <v>393</v>
      </c>
      <c r="P68" s="604">
        <f t="shared" ref="P68:P77" si="12">(K68*K$79)+(L68*L$79)+(M68*M$79)+(N68*N$79)</f>
        <v>49505.875</v>
      </c>
    </row>
    <row r="69" spans="1:16" ht="15">
      <c r="A69" s="605" t="s">
        <v>1220</v>
      </c>
      <c r="B69" s="602">
        <v>80</v>
      </c>
      <c r="C69" s="602">
        <v>71</v>
      </c>
      <c r="D69" s="602">
        <v>20</v>
      </c>
      <c r="E69" s="602">
        <v>183</v>
      </c>
      <c r="F69" s="603">
        <f>SUM(B69:E69)</f>
        <v>354</v>
      </c>
      <c r="G69" s="604">
        <f t="shared" si="11"/>
        <v>37912.385000000002</v>
      </c>
      <c r="J69" s="605" t="s">
        <v>1220</v>
      </c>
      <c r="K69" s="602">
        <v>101</v>
      </c>
      <c r="L69" s="602">
        <v>76</v>
      </c>
      <c r="M69" s="602">
        <v>25</v>
      </c>
      <c r="N69" s="602">
        <v>189</v>
      </c>
      <c r="O69" s="603">
        <f>SUM(K69:N69)</f>
        <v>391</v>
      </c>
      <c r="P69" s="604">
        <f t="shared" si="12"/>
        <v>49087.3</v>
      </c>
    </row>
    <row r="70" spans="1:16" ht="15">
      <c r="A70" s="605" t="s">
        <v>1221</v>
      </c>
      <c r="B70" s="602">
        <v>80</v>
      </c>
      <c r="C70" s="602">
        <v>69</v>
      </c>
      <c r="D70" s="602">
        <v>22</v>
      </c>
      <c r="E70" s="602">
        <v>185</v>
      </c>
      <c r="F70" s="603">
        <f t="shared" ref="F70:F78" si="13">SUM(B70:E70)</f>
        <v>356</v>
      </c>
      <c r="G70" s="604">
        <f t="shared" si="11"/>
        <v>38248.864999999998</v>
      </c>
      <c r="J70" s="605" t="s">
        <v>1221</v>
      </c>
      <c r="K70" s="602">
        <v>99</v>
      </c>
      <c r="L70" s="602">
        <v>74</v>
      </c>
      <c r="M70" s="602">
        <v>24</v>
      </c>
      <c r="N70" s="602">
        <v>188</v>
      </c>
      <c r="O70" s="603">
        <f t="shared" ref="O70:O78" si="14">SUM(K70:N70)</f>
        <v>385</v>
      </c>
      <c r="P70" s="604">
        <f t="shared" si="12"/>
        <v>48474.12</v>
      </c>
    </row>
    <row r="71" spans="1:16" ht="15">
      <c r="A71" s="605" t="s">
        <v>1222</v>
      </c>
      <c r="B71" s="602">
        <v>78</v>
      </c>
      <c r="C71" s="602">
        <v>70</v>
      </c>
      <c r="D71" s="602">
        <v>21</v>
      </c>
      <c r="E71" s="602">
        <v>185</v>
      </c>
      <c r="F71" s="603">
        <f t="shared" si="13"/>
        <v>354</v>
      </c>
      <c r="G71" s="604">
        <f t="shared" si="11"/>
        <v>38130.550000000003</v>
      </c>
      <c r="J71" s="605" t="s">
        <v>1222</v>
      </c>
      <c r="K71" s="602">
        <v>100</v>
      </c>
      <c r="L71" s="602">
        <v>75</v>
      </c>
      <c r="M71" s="602">
        <v>25</v>
      </c>
      <c r="N71" s="602">
        <v>188</v>
      </c>
      <c r="O71" s="603">
        <f t="shared" si="14"/>
        <v>388</v>
      </c>
      <c r="P71" s="604">
        <f t="shared" si="12"/>
        <v>48759.184999999998</v>
      </c>
    </row>
    <row r="72" spans="1:16" ht="15">
      <c r="A72" s="606" t="s">
        <v>1223</v>
      </c>
      <c r="B72" s="602">
        <v>76</v>
      </c>
      <c r="C72" s="602">
        <v>69</v>
      </c>
      <c r="D72" s="602">
        <v>23</v>
      </c>
      <c r="E72" s="602">
        <v>182</v>
      </c>
      <c r="F72" s="603">
        <f t="shared" si="13"/>
        <v>350</v>
      </c>
      <c r="G72" s="604">
        <f t="shared" si="11"/>
        <v>37740.514999999999</v>
      </c>
      <c r="J72" s="606" t="s">
        <v>1223</v>
      </c>
      <c r="K72" s="602"/>
      <c r="L72" s="602"/>
      <c r="M72" s="602"/>
      <c r="N72" s="602"/>
      <c r="O72" s="603">
        <f t="shared" si="14"/>
        <v>0</v>
      </c>
      <c r="P72" s="604">
        <f t="shared" si="12"/>
        <v>0</v>
      </c>
    </row>
    <row r="73" spans="1:16" ht="15">
      <c r="A73" s="605" t="s">
        <v>1254</v>
      </c>
      <c r="B73" s="602">
        <v>77</v>
      </c>
      <c r="C73" s="602">
        <v>69</v>
      </c>
      <c r="D73" s="602">
        <v>23</v>
      </c>
      <c r="E73" s="602">
        <v>182</v>
      </c>
      <c r="F73" s="603">
        <f t="shared" si="13"/>
        <v>351</v>
      </c>
      <c r="G73" s="604">
        <f t="shared" si="11"/>
        <v>37787.114999999998</v>
      </c>
      <c r="J73" s="605" t="s">
        <v>1254</v>
      </c>
      <c r="K73" s="602"/>
      <c r="L73" s="602"/>
      <c r="M73" s="602"/>
      <c r="N73" s="602"/>
      <c r="O73" s="603">
        <f t="shared" si="14"/>
        <v>0</v>
      </c>
      <c r="P73" s="604">
        <f t="shared" si="12"/>
        <v>0</v>
      </c>
    </row>
    <row r="74" spans="1:16" ht="15">
      <c r="A74" s="605" t="s">
        <v>1225</v>
      </c>
      <c r="B74" s="602">
        <v>77</v>
      </c>
      <c r="C74" s="602">
        <v>69</v>
      </c>
      <c r="D74" s="602">
        <v>23</v>
      </c>
      <c r="E74" s="602">
        <v>182</v>
      </c>
      <c r="F74" s="603">
        <f t="shared" si="13"/>
        <v>351</v>
      </c>
      <c r="G74" s="604">
        <f t="shared" si="11"/>
        <v>37787.114999999998</v>
      </c>
      <c r="J74" s="605" t="s">
        <v>1225</v>
      </c>
      <c r="K74" s="602"/>
      <c r="L74" s="602"/>
      <c r="M74" s="602"/>
      <c r="N74" s="602"/>
      <c r="O74" s="603">
        <f t="shared" si="14"/>
        <v>0</v>
      </c>
      <c r="P74" s="604">
        <f t="shared" si="12"/>
        <v>0</v>
      </c>
    </row>
    <row r="75" spans="1:16" ht="15">
      <c r="A75" s="605" t="s">
        <v>1226</v>
      </c>
      <c r="B75" s="602">
        <v>78</v>
      </c>
      <c r="C75" s="602">
        <v>69</v>
      </c>
      <c r="D75" s="602">
        <v>23</v>
      </c>
      <c r="E75" s="602">
        <v>179</v>
      </c>
      <c r="F75" s="603">
        <f t="shared" si="13"/>
        <v>349</v>
      </c>
      <c r="G75" s="604">
        <f t="shared" si="11"/>
        <v>37404.339999999997</v>
      </c>
      <c r="J75" s="605" t="s">
        <v>1226</v>
      </c>
      <c r="K75" s="602"/>
      <c r="L75" s="602"/>
      <c r="M75" s="602"/>
      <c r="N75" s="602"/>
      <c r="O75" s="603">
        <f t="shared" si="14"/>
        <v>0</v>
      </c>
      <c r="P75" s="604">
        <f t="shared" si="12"/>
        <v>0</v>
      </c>
    </row>
    <row r="76" spans="1:16" ht="15">
      <c r="A76" s="605" t="s">
        <v>1227</v>
      </c>
      <c r="B76" s="602">
        <v>77</v>
      </c>
      <c r="C76" s="602">
        <v>69</v>
      </c>
      <c r="D76" s="602">
        <v>23</v>
      </c>
      <c r="E76" s="602">
        <v>179</v>
      </c>
      <c r="F76" s="603">
        <f t="shared" si="13"/>
        <v>348</v>
      </c>
      <c r="G76" s="604">
        <f t="shared" si="11"/>
        <v>37357.74</v>
      </c>
      <c r="J76" s="605" t="s">
        <v>1227</v>
      </c>
      <c r="K76" s="602"/>
      <c r="L76" s="602"/>
      <c r="M76" s="602"/>
      <c r="N76" s="602"/>
      <c r="O76" s="603">
        <f t="shared" si="14"/>
        <v>0</v>
      </c>
      <c r="P76" s="604">
        <f t="shared" si="12"/>
        <v>0</v>
      </c>
    </row>
    <row r="77" spans="1:16" ht="15">
      <c r="A77" s="605" t="s">
        <v>1228</v>
      </c>
      <c r="B77" s="602">
        <v>75</v>
      </c>
      <c r="C77" s="602">
        <v>71</v>
      </c>
      <c r="D77" s="602">
        <v>23</v>
      </c>
      <c r="E77" s="602">
        <v>177</v>
      </c>
      <c r="F77" s="603">
        <f t="shared" si="13"/>
        <v>346</v>
      </c>
      <c r="G77" s="604">
        <f t="shared" si="11"/>
        <v>37142.910000000003</v>
      </c>
      <c r="J77" s="605" t="s">
        <v>1228</v>
      </c>
      <c r="K77" s="602"/>
      <c r="L77" s="602"/>
      <c r="M77" s="602"/>
      <c r="N77" s="602"/>
      <c r="O77" s="603">
        <f t="shared" si="14"/>
        <v>0</v>
      </c>
      <c r="P77" s="604">
        <f t="shared" si="12"/>
        <v>0</v>
      </c>
    </row>
    <row r="78" spans="1:16" ht="15.75" thickBot="1">
      <c r="A78" s="607" t="s">
        <v>1229</v>
      </c>
      <c r="B78" s="623">
        <v>72</v>
      </c>
      <c r="C78" s="623">
        <v>70</v>
      </c>
      <c r="D78" s="623">
        <v>23</v>
      </c>
      <c r="E78" s="623">
        <v>174</v>
      </c>
      <c r="F78" s="609">
        <f t="shared" si="13"/>
        <v>339</v>
      </c>
      <c r="G78" s="610">
        <f>(B78*B$79)+(C78*C$79)+(D78*D$79)+(E78*E$79)</f>
        <v>36491.425000000003</v>
      </c>
      <c r="J78" s="607" t="s">
        <v>1229</v>
      </c>
      <c r="K78" s="608"/>
      <c r="L78" s="608"/>
      <c r="M78" s="608"/>
      <c r="N78" s="608"/>
      <c r="O78" s="609">
        <f t="shared" si="14"/>
        <v>0</v>
      </c>
      <c r="P78" s="610">
        <f>(K78*K$79)+(L78*L$79)+(M78*M$79)+(N78*N$79)</f>
        <v>0</v>
      </c>
    </row>
    <row r="79" spans="1:16" ht="15.75" thickBot="1">
      <c r="A79" s="624" t="s">
        <v>1255</v>
      </c>
      <c r="B79" s="612">
        <f>(B80+B81)/2</f>
        <v>46.6</v>
      </c>
      <c r="C79" s="613">
        <f>(C80+C81)/2</f>
        <v>82.31</v>
      </c>
      <c r="D79" s="613">
        <f>(D80+D81)/2</f>
        <v>107.42500000000001</v>
      </c>
      <c r="E79" s="614">
        <f>(E80+E81)/2</f>
        <v>143.125</v>
      </c>
      <c r="F79" s="511"/>
      <c r="G79" s="511"/>
      <c r="J79" s="644" t="s">
        <v>1255</v>
      </c>
      <c r="K79" s="645">
        <f>(K80+K81)/2</f>
        <v>56.21</v>
      </c>
      <c r="L79" s="646">
        <f>(L80+L81)/2</f>
        <v>99.284999999999997</v>
      </c>
      <c r="M79" s="646">
        <f>(M80+M81)/2</f>
        <v>129.57</v>
      </c>
      <c r="N79" s="647">
        <f>(N80+N81)/2</f>
        <v>172.62</v>
      </c>
      <c r="O79" s="511"/>
      <c r="P79" s="511"/>
    </row>
    <row r="80" spans="1:16" ht="15">
      <c r="A80" s="625" t="s">
        <v>1256</v>
      </c>
      <c r="B80" s="616">
        <v>45.39</v>
      </c>
      <c r="C80" s="617">
        <v>80.19</v>
      </c>
      <c r="D80" s="617">
        <v>104.65</v>
      </c>
      <c r="E80" s="618">
        <v>139.43</v>
      </c>
      <c r="F80" s="511"/>
      <c r="G80" s="511"/>
      <c r="J80" s="648" t="s">
        <v>1256</v>
      </c>
      <c r="K80" s="649">
        <v>54.75</v>
      </c>
      <c r="L80" s="650">
        <v>96.73</v>
      </c>
      <c r="M80" s="650">
        <v>126.22</v>
      </c>
      <c r="N80" s="651">
        <v>168.16</v>
      </c>
      <c r="O80" s="511"/>
      <c r="P80" s="511"/>
    </row>
    <row r="81" spans="1:16" ht="15.75" thickBot="1">
      <c r="A81" s="626" t="s">
        <v>1257</v>
      </c>
      <c r="B81" s="620">
        <v>47.81</v>
      </c>
      <c r="C81" s="621">
        <v>84.43</v>
      </c>
      <c r="D81" s="621">
        <v>110.2</v>
      </c>
      <c r="E81" s="622">
        <v>146.82</v>
      </c>
      <c r="F81" s="511"/>
      <c r="G81" s="511"/>
      <c r="J81" s="619" t="s">
        <v>1257</v>
      </c>
      <c r="K81" s="652">
        <v>57.67</v>
      </c>
      <c r="L81" s="653">
        <v>101.84</v>
      </c>
      <c r="M81" s="653">
        <v>132.91999999999999</v>
      </c>
      <c r="N81" s="654">
        <v>177.08</v>
      </c>
      <c r="O81" s="511"/>
      <c r="P81" s="511"/>
    </row>
    <row r="83" spans="1:16" ht="16.5" thickBot="1">
      <c r="A83" s="1156" t="s">
        <v>1259</v>
      </c>
      <c r="B83" s="1156"/>
      <c r="C83" s="1157"/>
      <c r="D83" s="1157"/>
      <c r="E83" s="1157">
        <f>E47</f>
        <v>0</v>
      </c>
      <c r="F83" s="1157"/>
      <c r="G83" s="1157"/>
      <c r="J83" s="1156" t="s">
        <v>1259</v>
      </c>
      <c r="K83" s="1156"/>
      <c r="L83" s="205"/>
      <c r="M83" s="633"/>
      <c r="N83" s="1157" t="str">
        <f>N47</f>
        <v>2024 Plan Year</v>
      </c>
      <c r="O83" s="1157"/>
      <c r="P83" s="1157"/>
    </row>
    <row r="84" spans="1:16" ht="15">
      <c r="A84" s="598"/>
      <c r="B84" s="599" t="s">
        <v>11</v>
      </c>
      <c r="C84" s="599" t="s">
        <v>12</v>
      </c>
      <c r="D84" s="599" t="s">
        <v>1251</v>
      </c>
      <c r="E84" s="599" t="s">
        <v>1252</v>
      </c>
      <c r="F84" s="599" t="s">
        <v>88</v>
      </c>
      <c r="G84" s="600" t="s">
        <v>1253</v>
      </c>
      <c r="J84" s="598"/>
      <c r="K84" s="599" t="s">
        <v>11</v>
      </c>
      <c r="L84" s="599" t="s">
        <v>12</v>
      </c>
      <c r="M84" s="599" t="s">
        <v>1251</v>
      </c>
      <c r="N84" s="599" t="s">
        <v>1252</v>
      </c>
      <c r="O84" s="599" t="s">
        <v>88</v>
      </c>
      <c r="P84" s="600" t="s">
        <v>1253</v>
      </c>
    </row>
    <row r="85" spans="1:16" ht="15">
      <c r="A85" s="601">
        <v>43831</v>
      </c>
      <c r="B85" s="602">
        <v>21</v>
      </c>
      <c r="C85" s="602">
        <v>44</v>
      </c>
      <c r="D85" s="602">
        <v>0</v>
      </c>
      <c r="E85" s="602">
        <v>1</v>
      </c>
      <c r="F85" s="603">
        <f>SUM(B85:E85)</f>
        <v>66</v>
      </c>
      <c r="G85" s="604">
        <f>(B85*B$97)+(C85*C$97)+(D85*D$97)+(E85*E$97)</f>
        <v>3401.0899999999997</v>
      </c>
      <c r="J85" s="601">
        <f>J49</f>
        <v>0</v>
      </c>
      <c r="K85" s="602">
        <v>21</v>
      </c>
      <c r="L85" s="602">
        <v>41</v>
      </c>
      <c r="M85" s="602">
        <v>2</v>
      </c>
      <c r="N85" s="602">
        <v>0</v>
      </c>
      <c r="O85" s="603">
        <f>SUM(K85:N85)</f>
        <v>64</v>
      </c>
      <c r="P85" s="604">
        <f>(K85*K$97)+(L85*L$97)+(M85*M$97)+(N85*N$97)</f>
        <v>5851.82</v>
      </c>
    </row>
    <row r="86" spans="1:16" ht="15">
      <c r="A86" s="605" t="s">
        <v>1219</v>
      </c>
      <c r="B86" s="602">
        <v>21</v>
      </c>
      <c r="C86" s="602">
        <v>43</v>
      </c>
      <c r="D86" s="602">
        <v>0</v>
      </c>
      <c r="E86" s="602">
        <v>1</v>
      </c>
      <c r="F86" s="603">
        <f>SUM(B86:E86)</f>
        <v>65</v>
      </c>
      <c r="G86" s="604">
        <f t="shared" ref="G86:G95" si="15">(B86*B$97)+(C86*C$97)+(D86*D$97)+(E86*E$97)</f>
        <v>3340.44</v>
      </c>
      <c r="J86" s="605" t="s">
        <v>1219</v>
      </c>
      <c r="K86" s="602">
        <v>21</v>
      </c>
      <c r="L86" s="602">
        <v>41</v>
      </c>
      <c r="M86" s="602">
        <v>2</v>
      </c>
      <c r="N86" s="602">
        <v>0</v>
      </c>
      <c r="O86" s="603">
        <f>SUM(K86:N86)</f>
        <v>64</v>
      </c>
      <c r="P86" s="604">
        <f t="shared" ref="P86:P95" si="16">(K86*K$97)+(L86*L$97)+(M86*M$97)+(N86*N$97)</f>
        <v>5851.82</v>
      </c>
    </row>
    <row r="87" spans="1:16" ht="15">
      <c r="A87" s="605" t="s">
        <v>1220</v>
      </c>
      <c r="B87" s="602">
        <v>20</v>
      </c>
      <c r="C87" s="602">
        <v>43</v>
      </c>
      <c r="D87" s="602">
        <v>0</v>
      </c>
      <c r="E87" s="602">
        <v>1</v>
      </c>
      <c r="F87" s="603">
        <f>SUM(B87:E87)</f>
        <v>64</v>
      </c>
      <c r="G87" s="604">
        <f t="shared" si="15"/>
        <v>3309.37</v>
      </c>
      <c r="J87" s="605" t="s">
        <v>1220</v>
      </c>
      <c r="K87" s="602">
        <v>21</v>
      </c>
      <c r="L87" s="602">
        <v>41</v>
      </c>
      <c r="M87" s="602">
        <v>2</v>
      </c>
      <c r="N87" s="602">
        <v>0</v>
      </c>
      <c r="O87" s="603">
        <f>SUM(K87:N87)</f>
        <v>64</v>
      </c>
      <c r="P87" s="604">
        <f t="shared" si="16"/>
        <v>5851.82</v>
      </c>
    </row>
    <row r="88" spans="1:16" ht="15">
      <c r="A88" s="605" t="s">
        <v>1221</v>
      </c>
      <c r="B88" s="602">
        <v>20</v>
      </c>
      <c r="C88" s="602">
        <v>43</v>
      </c>
      <c r="D88" s="602">
        <v>0</v>
      </c>
      <c r="E88" s="602">
        <v>1</v>
      </c>
      <c r="F88" s="603">
        <f t="shared" ref="F88:F96" si="17">SUM(B88:E88)</f>
        <v>64</v>
      </c>
      <c r="G88" s="604">
        <f t="shared" si="15"/>
        <v>3309.37</v>
      </c>
      <c r="J88" s="605" t="s">
        <v>1221</v>
      </c>
      <c r="K88" s="602">
        <v>21</v>
      </c>
      <c r="L88" s="602">
        <v>41</v>
      </c>
      <c r="M88" s="602">
        <v>1</v>
      </c>
      <c r="N88" s="602">
        <v>1</v>
      </c>
      <c r="O88" s="603">
        <f t="shared" ref="O88:O96" si="18">SUM(K88:N88)</f>
        <v>64</v>
      </c>
      <c r="P88" s="604">
        <f t="shared" si="16"/>
        <v>5905.25</v>
      </c>
    </row>
    <row r="89" spans="1:16" ht="15">
      <c r="A89" s="605" t="s">
        <v>1222</v>
      </c>
      <c r="B89" s="602">
        <v>20</v>
      </c>
      <c r="C89" s="602">
        <v>43</v>
      </c>
      <c r="D89" s="602">
        <v>0</v>
      </c>
      <c r="E89" s="602">
        <v>1</v>
      </c>
      <c r="F89" s="603">
        <f t="shared" si="17"/>
        <v>64</v>
      </c>
      <c r="G89" s="604">
        <f t="shared" si="15"/>
        <v>3309.37</v>
      </c>
      <c r="J89" s="605" t="s">
        <v>1222</v>
      </c>
      <c r="K89" s="602">
        <v>21</v>
      </c>
      <c r="L89" s="602">
        <v>41</v>
      </c>
      <c r="M89" s="602">
        <v>1</v>
      </c>
      <c r="N89" s="602">
        <v>1</v>
      </c>
      <c r="O89" s="603">
        <f t="shared" si="18"/>
        <v>64</v>
      </c>
      <c r="P89" s="604">
        <f t="shared" si="16"/>
        <v>5905.25</v>
      </c>
    </row>
    <row r="90" spans="1:16" ht="15">
      <c r="A90" s="606" t="s">
        <v>1223</v>
      </c>
      <c r="B90" s="602">
        <v>20</v>
      </c>
      <c r="C90" s="602">
        <v>43</v>
      </c>
      <c r="D90" s="602">
        <v>0</v>
      </c>
      <c r="E90" s="602">
        <v>1</v>
      </c>
      <c r="F90" s="603">
        <f t="shared" si="17"/>
        <v>64</v>
      </c>
      <c r="G90" s="604">
        <f t="shared" si="15"/>
        <v>3309.37</v>
      </c>
      <c r="J90" s="606" t="s">
        <v>1223</v>
      </c>
      <c r="K90" s="602"/>
      <c r="L90" s="602"/>
      <c r="M90" s="602"/>
      <c r="N90" s="602"/>
      <c r="O90" s="603">
        <f t="shared" si="18"/>
        <v>0</v>
      </c>
      <c r="P90" s="604">
        <f t="shared" si="16"/>
        <v>0</v>
      </c>
    </row>
    <row r="91" spans="1:16" ht="15">
      <c r="A91" s="605" t="s">
        <v>1254</v>
      </c>
      <c r="B91" s="602">
        <v>20</v>
      </c>
      <c r="C91" s="602">
        <v>44</v>
      </c>
      <c r="D91" s="602">
        <v>0</v>
      </c>
      <c r="E91" s="602">
        <v>1</v>
      </c>
      <c r="F91" s="603">
        <f t="shared" si="17"/>
        <v>65</v>
      </c>
      <c r="G91" s="604">
        <f t="shared" si="15"/>
        <v>3370.02</v>
      </c>
      <c r="J91" s="605" t="s">
        <v>1254</v>
      </c>
      <c r="K91" s="602"/>
      <c r="L91" s="602"/>
      <c r="M91" s="602"/>
      <c r="N91" s="602"/>
      <c r="O91" s="603">
        <f t="shared" si="18"/>
        <v>0</v>
      </c>
      <c r="P91" s="604">
        <f t="shared" si="16"/>
        <v>0</v>
      </c>
    </row>
    <row r="92" spans="1:16" ht="15">
      <c r="A92" s="605" t="s">
        <v>1225</v>
      </c>
      <c r="B92" s="602">
        <v>20</v>
      </c>
      <c r="C92" s="602">
        <v>44</v>
      </c>
      <c r="D92" s="602">
        <v>0</v>
      </c>
      <c r="E92" s="602">
        <v>1</v>
      </c>
      <c r="F92" s="603">
        <f t="shared" si="17"/>
        <v>65</v>
      </c>
      <c r="G92" s="604">
        <f t="shared" si="15"/>
        <v>3370.02</v>
      </c>
      <c r="J92" s="605" t="s">
        <v>1225</v>
      </c>
      <c r="K92" s="602"/>
      <c r="L92" s="602"/>
      <c r="M92" s="602"/>
      <c r="N92" s="602"/>
      <c r="O92" s="603">
        <f t="shared" si="18"/>
        <v>0</v>
      </c>
      <c r="P92" s="604">
        <f t="shared" si="16"/>
        <v>0</v>
      </c>
    </row>
    <row r="93" spans="1:16" ht="15">
      <c r="A93" s="605" t="s">
        <v>1226</v>
      </c>
      <c r="B93" s="602">
        <v>20</v>
      </c>
      <c r="C93" s="602">
        <v>44</v>
      </c>
      <c r="D93" s="602">
        <v>0</v>
      </c>
      <c r="E93" s="602">
        <v>1</v>
      </c>
      <c r="F93" s="603">
        <f t="shared" si="17"/>
        <v>65</v>
      </c>
      <c r="G93" s="604">
        <f t="shared" si="15"/>
        <v>3370.02</v>
      </c>
      <c r="J93" s="605" t="s">
        <v>1226</v>
      </c>
      <c r="K93" s="602"/>
      <c r="L93" s="602"/>
      <c r="M93" s="602"/>
      <c r="N93" s="602"/>
      <c r="O93" s="603">
        <f t="shared" si="18"/>
        <v>0</v>
      </c>
      <c r="P93" s="604">
        <f t="shared" si="16"/>
        <v>0</v>
      </c>
    </row>
    <row r="94" spans="1:16" ht="15">
      <c r="A94" s="605" t="s">
        <v>1227</v>
      </c>
      <c r="B94" s="602">
        <v>20</v>
      </c>
      <c r="C94" s="602">
        <v>44</v>
      </c>
      <c r="D94" s="602">
        <v>0</v>
      </c>
      <c r="E94" s="602">
        <v>1</v>
      </c>
      <c r="F94" s="603">
        <f t="shared" si="17"/>
        <v>65</v>
      </c>
      <c r="G94" s="604">
        <f t="shared" si="15"/>
        <v>3370.02</v>
      </c>
      <c r="J94" s="605" t="s">
        <v>1227</v>
      </c>
      <c r="K94" s="602"/>
      <c r="L94" s="602"/>
      <c r="M94" s="602"/>
      <c r="N94" s="602"/>
      <c r="O94" s="603">
        <f t="shared" si="18"/>
        <v>0</v>
      </c>
      <c r="P94" s="604">
        <f t="shared" si="16"/>
        <v>0</v>
      </c>
    </row>
    <row r="95" spans="1:16" ht="15">
      <c r="A95" s="605" t="s">
        <v>1228</v>
      </c>
      <c r="B95" s="602">
        <v>19</v>
      </c>
      <c r="C95" s="602">
        <v>44</v>
      </c>
      <c r="D95" s="602">
        <v>0</v>
      </c>
      <c r="E95" s="602">
        <v>1</v>
      </c>
      <c r="F95" s="603">
        <f t="shared" si="17"/>
        <v>64</v>
      </c>
      <c r="G95" s="604">
        <f t="shared" si="15"/>
        <v>3338.95</v>
      </c>
      <c r="J95" s="605" t="s">
        <v>1228</v>
      </c>
      <c r="K95" s="602"/>
      <c r="L95" s="602"/>
      <c r="M95" s="602"/>
      <c r="N95" s="602"/>
      <c r="O95" s="603">
        <f t="shared" si="18"/>
        <v>0</v>
      </c>
      <c r="P95" s="604">
        <f t="shared" si="16"/>
        <v>0</v>
      </c>
    </row>
    <row r="96" spans="1:16" ht="15.75" thickBot="1">
      <c r="A96" s="607" t="s">
        <v>1229</v>
      </c>
      <c r="B96" s="623">
        <v>19</v>
      </c>
      <c r="C96" s="623">
        <v>44</v>
      </c>
      <c r="D96" s="623">
        <v>0</v>
      </c>
      <c r="E96" s="623">
        <v>1</v>
      </c>
      <c r="F96" s="609">
        <f t="shared" si="17"/>
        <v>64</v>
      </c>
      <c r="G96" s="610">
        <f>(B96*B$97)+(C96*C$97)+(D96*D$97)+(E96*E$97)</f>
        <v>3338.95</v>
      </c>
      <c r="J96" s="607" t="s">
        <v>1229</v>
      </c>
      <c r="K96" s="623"/>
      <c r="L96" s="623"/>
      <c r="M96" s="623"/>
      <c r="N96" s="623"/>
      <c r="O96" s="609">
        <f t="shared" si="18"/>
        <v>0</v>
      </c>
      <c r="P96" s="610">
        <f>(K96*K$97)+(L96*L$97)+(M96*M$97)+(N96*N$97)</f>
        <v>0</v>
      </c>
    </row>
    <row r="97" spans="1:16" ht="15.75" thickBot="1">
      <c r="A97" s="627" t="s">
        <v>1260</v>
      </c>
      <c r="B97" s="628">
        <v>31.07</v>
      </c>
      <c r="C97" s="629">
        <v>60.65</v>
      </c>
      <c r="D97" s="629">
        <v>50.43</v>
      </c>
      <c r="E97" s="630">
        <v>80.02</v>
      </c>
      <c r="F97" s="511"/>
      <c r="G97" s="511"/>
      <c r="J97" s="655" t="s">
        <v>1260</v>
      </c>
      <c r="K97" s="656">
        <v>56.12</v>
      </c>
      <c r="L97" s="657">
        <v>109.54</v>
      </c>
      <c r="M97" s="657">
        <v>91.08</v>
      </c>
      <c r="N97" s="658">
        <v>144.51</v>
      </c>
      <c r="O97" s="511"/>
      <c r="P97" s="511"/>
    </row>
  </sheetData>
  <mergeCells count="14">
    <mergeCell ref="A65:B65"/>
    <mergeCell ref="C65:G65"/>
    <mergeCell ref="A83:B83"/>
    <mergeCell ref="C83:G83"/>
    <mergeCell ref="N47:P47"/>
    <mergeCell ref="N65:P65"/>
    <mergeCell ref="J83:K83"/>
    <mergeCell ref="N83:P83"/>
    <mergeCell ref="A1:I1"/>
    <mergeCell ref="A2:I2"/>
    <mergeCell ref="A3:I3"/>
    <mergeCell ref="H49:J49"/>
    <mergeCell ref="A47:B47"/>
    <mergeCell ref="C47:G47"/>
  </mergeCells>
  <printOptions horizontalCentered="1"/>
  <pageMargins left="0.25" right="0.25" top="0.5" bottom="0.25" header="0.5" footer="0.15"/>
  <pageSetup scale="77" orientation="landscape" r:id="rId1"/>
  <headerFooter scaleWithDoc="0" alignWithMargins="0">
    <oddFooter>&amp;C
&amp;"Times New Roman,Regular"
&amp;"Arial,Regular"&amp;P&amp;R&amp;"Times New Roman,Regular"                &amp;"Arial,Regular"            Davidson Benefits Planning - An Alera Group Company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0D842-6978-4E41-8F88-66C2A3B8B071}">
  <sheetPr>
    <tabColor rgb="FF16365C"/>
    <pageSetUpPr fitToPage="1"/>
  </sheetPr>
  <dimension ref="A1:Y53"/>
  <sheetViews>
    <sheetView showGridLines="0" zoomScale="80" zoomScaleNormal="80" zoomScaleSheetLayoutView="80" workbookViewId="0">
      <selection sqref="A1:L1"/>
    </sheetView>
  </sheetViews>
  <sheetFormatPr defaultColWidth="9.33203125" defaultRowHeight="12.75"/>
  <cols>
    <col min="1" max="1" width="23.6640625" style="125" customWidth="1"/>
    <col min="2" max="2" width="22.6640625" style="125" customWidth="1"/>
    <col min="3" max="8" width="13.33203125" style="125" customWidth="1"/>
    <col min="9" max="9" width="23.6640625" style="125" customWidth="1"/>
    <col min="10" max="16" width="11.6640625" style="125" customWidth="1"/>
    <col min="17" max="16384" width="9.33203125" style="125"/>
  </cols>
  <sheetData>
    <row r="1" spans="1:17" ht="25.35" customHeight="1">
      <c r="A1" s="1153" t="s">
        <v>1189</v>
      </c>
      <c r="B1" s="1153"/>
      <c r="C1" s="1153"/>
      <c r="D1" s="1153"/>
      <c r="E1" s="1153"/>
      <c r="F1" s="1153"/>
      <c r="G1" s="1153"/>
      <c r="H1" s="1153"/>
      <c r="I1" s="1153"/>
      <c r="J1" s="126"/>
      <c r="K1" s="127" t="s">
        <v>61</v>
      </c>
      <c r="L1" s="126"/>
      <c r="M1" s="126"/>
      <c r="N1" s="126"/>
      <c r="O1" s="126"/>
      <c r="P1" s="126"/>
      <c r="Q1" s="126"/>
    </row>
    <row r="2" spans="1:17" s="128" customFormat="1" ht="14.25" customHeight="1">
      <c r="A2" s="1154" t="s">
        <v>1241</v>
      </c>
      <c r="B2" s="1154"/>
      <c r="C2" s="1154"/>
      <c r="D2" s="1154"/>
      <c r="E2" s="1154"/>
      <c r="F2" s="1154"/>
      <c r="G2" s="1154"/>
      <c r="H2" s="1154"/>
      <c r="I2" s="1154"/>
      <c r="J2" s="129"/>
      <c r="K2" s="127">
        <f>COUNT(C19:C30)</f>
        <v>5</v>
      </c>
      <c r="L2" s="129"/>
      <c r="M2" s="129"/>
      <c r="N2" s="129"/>
      <c r="O2" s="129"/>
      <c r="P2" s="129"/>
      <c r="Q2" s="129"/>
    </row>
    <row r="3" spans="1:17" s="128" customFormat="1" ht="14.25" customHeight="1">
      <c r="A3" s="1154" t="s">
        <v>1261</v>
      </c>
      <c r="B3" s="1154"/>
      <c r="C3" s="1154"/>
      <c r="D3" s="1154"/>
      <c r="E3" s="1154"/>
      <c r="F3" s="1154"/>
      <c r="G3" s="1154"/>
      <c r="H3" s="1154"/>
      <c r="I3" s="1154"/>
      <c r="J3" s="129"/>
      <c r="K3" s="129"/>
      <c r="L3" s="129"/>
      <c r="M3" s="129"/>
      <c r="N3" s="129"/>
      <c r="O3" s="129"/>
      <c r="P3" s="129"/>
      <c r="Q3" s="129"/>
    </row>
    <row r="4" spans="1:17" ht="30.75" customHeight="1">
      <c r="A4" s="126"/>
      <c r="B4" s="255"/>
      <c r="C4" s="126"/>
      <c r="D4" s="137"/>
      <c r="E4" s="137"/>
      <c r="F4" s="137"/>
      <c r="G4" s="137"/>
      <c r="H4" s="137"/>
      <c r="I4" s="126"/>
      <c r="J4" s="126"/>
      <c r="K4" s="126"/>
      <c r="L4" s="126"/>
      <c r="M4" s="126"/>
      <c r="N4" s="126"/>
      <c r="O4" s="126"/>
      <c r="P4" s="126"/>
      <c r="Q4" s="126"/>
    </row>
    <row r="5" spans="1:17" ht="18" customHeight="1" thickBot="1">
      <c r="A5" s="126"/>
      <c r="B5" s="133"/>
      <c r="C5" s="134" t="s">
        <v>1192</v>
      </c>
      <c r="D5" s="135" t="s">
        <v>1193</v>
      </c>
      <c r="E5" s="135" t="s">
        <v>1194</v>
      </c>
      <c r="F5" s="135" t="s">
        <v>1195</v>
      </c>
      <c r="G5" s="135" t="s">
        <v>1196</v>
      </c>
      <c r="H5" s="135" t="s">
        <v>1197</v>
      </c>
      <c r="I5" s="126"/>
      <c r="J5" s="126"/>
      <c r="K5" s="126"/>
      <c r="L5" s="126"/>
      <c r="M5" s="126"/>
      <c r="N5" s="126"/>
      <c r="O5" s="126"/>
      <c r="P5" s="126"/>
      <c r="Q5" s="126"/>
    </row>
    <row r="6" spans="1:17" s="154" customFormat="1" ht="52.5" customHeight="1" thickBot="1">
      <c r="A6" s="256"/>
      <c r="B6" s="139" t="s">
        <v>1203</v>
      </c>
      <c r="C6" s="142" t="s">
        <v>1204</v>
      </c>
      <c r="D6" s="141" t="s">
        <v>90</v>
      </c>
      <c r="E6" s="142" t="s">
        <v>1243</v>
      </c>
      <c r="F6" s="140" t="s">
        <v>1244</v>
      </c>
      <c r="G6" s="141" t="s">
        <v>1245</v>
      </c>
      <c r="H6" s="336" t="s">
        <v>1246</v>
      </c>
      <c r="I6" s="337"/>
      <c r="J6" s="256"/>
      <c r="K6" s="338" t="s">
        <v>1204</v>
      </c>
      <c r="L6" s="339" t="s">
        <v>1262</v>
      </c>
      <c r="M6" s="340" t="s">
        <v>1243</v>
      </c>
      <c r="N6" s="339" t="s">
        <v>1244</v>
      </c>
      <c r="O6" s="341" t="s">
        <v>1263</v>
      </c>
      <c r="P6" s="376"/>
      <c r="Q6" s="256"/>
    </row>
    <row r="7" spans="1:17">
      <c r="A7" s="126"/>
      <c r="B7" s="155" t="s">
        <v>1217</v>
      </c>
      <c r="C7" s="257">
        <v>774</v>
      </c>
      <c r="D7" s="343">
        <v>111.98826873385012</v>
      </c>
      <c r="E7" s="259">
        <v>94.945348837209295</v>
      </c>
      <c r="F7" s="259">
        <v>8.0299999999999994</v>
      </c>
      <c r="G7" s="343">
        <f>E7+F7</f>
        <v>102.9753488372093</v>
      </c>
      <c r="H7" s="344">
        <f t="shared" ref="H7:H23" si="0">+G7/D7</f>
        <v>0.91951907107287445</v>
      </c>
      <c r="I7" s="126"/>
      <c r="J7" s="127">
        <v>1</v>
      </c>
      <c r="K7" s="258">
        <f>C7</f>
        <v>774</v>
      </c>
      <c r="L7" s="165">
        <f>D7</f>
        <v>111.98826873385012</v>
      </c>
      <c r="M7" s="259">
        <f>E7</f>
        <v>94.945348837209295</v>
      </c>
      <c r="N7" s="259">
        <f>F7</f>
        <v>8.0299999999999994</v>
      </c>
      <c r="O7" s="345">
        <f>G7</f>
        <v>102.9753488372093</v>
      </c>
      <c r="P7" s="377"/>
      <c r="Q7" s="126"/>
    </row>
    <row r="8" spans="1:17">
      <c r="A8" s="126"/>
      <c r="B8" s="168" t="s">
        <v>1219</v>
      </c>
      <c r="C8" s="257">
        <v>778</v>
      </c>
      <c r="D8" s="347">
        <v>112.60388174807197</v>
      </c>
      <c r="E8" s="263">
        <v>102.4677377892031</v>
      </c>
      <c r="F8" s="263">
        <v>8.0299999999999994</v>
      </c>
      <c r="G8" s="347">
        <f t="shared" ref="G8:G23" si="1">E8+F8</f>
        <v>110.4977377892031</v>
      </c>
      <c r="H8" s="344">
        <f t="shared" si="0"/>
        <v>0.98129599152202462</v>
      </c>
      <c r="I8" s="126"/>
      <c r="J8" s="127">
        <v>2</v>
      </c>
      <c r="K8" s="258">
        <f>AVERAGE($C$7:C8)</f>
        <v>776</v>
      </c>
      <c r="L8" s="262">
        <f>L7+D8</f>
        <v>224.59215048192209</v>
      </c>
      <c r="M8" s="263">
        <f>M7+E8</f>
        <v>197.41308662641239</v>
      </c>
      <c r="N8" s="263">
        <f>N7+F8</f>
        <v>16.059999999999999</v>
      </c>
      <c r="O8" s="348">
        <f>O7+G8</f>
        <v>213.4730866264124</v>
      </c>
      <c r="P8" s="377"/>
      <c r="Q8" s="126"/>
    </row>
    <row r="9" spans="1:17">
      <c r="A9" s="126"/>
      <c r="B9" s="168" t="s">
        <v>1220</v>
      </c>
      <c r="C9" s="257">
        <v>781</v>
      </c>
      <c r="D9" s="347">
        <v>112.5952304737516</v>
      </c>
      <c r="E9" s="263">
        <v>129.45293213828427</v>
      </c>
      <c r="F9" s="263">
        <v>8.0299999999999994</v>
      </c>
      <c r="G9" s="347">
        <f t="shared" si="1"/>
        <v>137.48293213828427</v>
      </c>
      <c r="H9" s="344">
        <f t="shared" si="0"/>
        <v>1.2210369085778863</v>
      </c>
      <c r="I9" s="126"/>
      <c r="J9" s="127">
        <v>3</v>
      </c>
      <c r="K9" s="258">
        <f>AVERAGE($C$7:C9)</f>
        <v>777.66666666666663</v>
      </c>
      <c r="L9" s="262">
        <f t="shared" ref="L9:O18" si="2">L8+D9</f>
        <v>337.18738095567369</v>
      </c>
      <c r="M9" s="263">
        <f t="shared" si="2"/>
        <v>326.86601876469666</v>
      </c>
      <c r="N9" s="263">
        <f t="shared" si="2"/>
        <v>24.089999999999996</v>
      </c>
      <c r="O9" s="348">
        <f t="shared" si="2"/>
        <v>350.95601876469664</v>
      </c>
      <c r="P9" s="377"/>
      <c r="Q9" s="126"/>
    </row>
    <row r="10" spans="1:17">
      <c r="A10" s="126"/>
      <c r="B10" s="168" t="s">
        <v>1221</v>
      </c>
      <c r="C10" s="257">
        <v>779</v>
      </c>
      <c r="D10" s="347">
        <v>112.6528626444159</v>
      </c>
      <c r="E10" s="263">
        <v>86.523568677792042</v>
      </c>
      <c r="F10" s="263">
        <v>8.0299999999999994</v>
      </c>
      <c r="G10" s="347">
        <f t="shared" si="1"/>
        <v>94.553568677792043</v>
      </c>
      <c r="H10" s="344">
        <f t="shared" si="0"/>
        <v>0.83933569425791221</v>
      </c>
      <c r="I10" s="126"/>
      <c r="J10" s="127">
        <v>4</v>
      </c>
      <c r="K10" s="258">
        <f>AVERAGE($C$7:C10)</f>
        <v>778</v>
      </c>
      <c r="L10" s="262">
        <f t="shared" si="2"/>
        <v>449.84024360008959</v>
      </c>
      <c r="M10" s="263">
        <f t="shared" si="2"/>
        <v>413.38958744248873</v>
      </c>
      <c r="N10" s="263">
        <f t="shared" si="2"/>
        <v>32.119999999999997</v>
      </c>
      <c r="O10" s="348">
        <f t="shared" si="2"/>
        <v>445.50958744248868</v>
      </c>
      <c r="P10" s="377"/>
      <c r="Q10" s="126"/>
    </row>
    <row r="11" spans="1:17">
      <c r="A11" s="126"/>
      <c r="B11" s="168" t="s">
        <v>1222</v>
      </c>
      <c r="C11" s="257">
        <v>786</v>
      </c>
      <c r="D11" s="347">
        <v>112.23837786259541</v>
      </c>
      <c r="E11" s="263">
        <v>113.31898218829517</v>
      </c>
      <c r="F11" s="263">
        <v>8.0299999999999994</v>
      </c>
      <c r="G11" s="347">
        <f t="shared" si="1"/>
        <v>121.34898218829517</v>
      </c>
      <c r="H11" s="344">
        <f t="shared" si="0"/>
        <v>1.0811719172995635</v>
      </c>
      <c r="I11" s="126"/>
      <c r="J11" s="127">
        <v>5</v>
      </c>
      <c r="K11" s="258">
        <f>AVERAGE($C$7:C11)</f>
        <v>779.6</v>
      </c>
      <c r="L11" s="262">
        <f t="shared" si="2"/>
        <v>562.07862146268496</v>
      </c>
      <c r="M11" s="263">
        <f t="shared" si="2"/>
        <v>526.70856963078393</v>
      </c>
      <c r="N11" s="263">
        <f t="shared" si="2"/>
        <v>40.15</v>
      </c>
      <c r="O11" s="348">
        <f t="shared" si="2"/>
        <v>566.8585696307839</v>
      </c>
      <c r="P11" s="377"/>
      <c r="Q11" s="126"/>
    </row>
    <row r="12" spans="1:17">
      <c r="A12" s="126"/>
      <c r="B12" s="155" t="s">
        <v>1223</v>
      </c>
      <c r="C12" s="257">
        <v>784</v>
      </c>
      <c r="D12" s="347">
        <v>111.78234056122449</v>
      </c>
      <c r="E12" s="263">
        <v>117.92869897959184</v>
      </c>
      <c r="F12" s="263">
        <v>8.0299999999999994</v>
      </c>
      <c r="G12" s="347">
        <f t="shared" si="1"/>
        <v>125.95869897959184</v>
      </c>
      <c r="H12" s="344">
        <f t="shared" si="0"/>
        <v>1.126821091302904</v>
      </c>
      <c r="I12" s="126"/>
      <c r="J12" s="127">
        <v>6</v>
      </c>
      <c r="K12" s="258">
        <f>AVERAGE($C$7:C12)</f>
        <v>780.33333333333337</v>
      </c>
      <c r="L12" s="262">
        <f t="shared" si="2"/>
        <v>673.86096202390945</v>
      </c>
      <c r="M12" s="263">
        <f t="shared" si="2"/>
        <v>644.63726861037571</v>
      </c>
      <c r="N12" s="263">
        <f t="shared" si="2"/>
        <v>48.18</v>
      </c>
      <c r="O12" s="348">
        <f t="shared" si="2"/>
        <v>692.81726861037578</v>
      </c>
      <c r="P12" s="377"/>
      <c r="Q12" s="126"/>
    </row>
    <row r="13" spans="1:17">
      <c r="A13" s="126"/>
      <c r="B13" s="168" t="s">
        <v>1224</v>
      </c>
      <c r="C13" s="257">
        <v>788</v>
      </c>
      <c r="D13" s="347">
        <v>111.44293147208121</v>
      </c>
      <c r="E13" s="263">
        <v>82.303642131979686</v>
      </c>
      <c r="F13" s="263">
        <v>8.0299999999999994</v>
      </c>
      <c r="G13" s="347">
        <f t="shared" si="1"/>
        <v>90.333642131979687</v>
      </c>
      <c r="H13" s="344">
        <f t="shared" si="0"/>
        <v>0.81058207047084141</v>
      </c>
      <c r="I13" s="126"/>
      <c r="J13" s="127">
        <v>7</v>
      </c>
      <c r="K13" s="258">
        <f>AVERAGE($C$7:C13)</f>
        <v>781.42857142857144</v>
      </c>
      <c r="L13" s="262">
        <f t="shared" si="2"/>
        <v>785.30389349599068</v>
      </c>
      <c r="M13" s="263">
        <f t="shared" si="2"/>
        <v>726.94091074235541</v>
      </c>
      <c r="N13" s="263">
        <f t="shared" si="2"/>
        <v>56.21</v>
      </c>
      <c r="O13" s="348">
        <f t="shared" si="2"/>
        <v>783.15091074235545</v>
      </c>
      <c r="P13" s="377"/>
      <c r="Q13" s="126"/>
    </row>
    <row r="14" spans="1:17">
      <c r="A14" s="126"/>
      <c r="B14" s="168" t="s">
        <v>1225</v>
      </c>
      <c r="C14" s="257">
        <v>801</v>
      </c>
      <c r="D14" s="347">
        <v>110.93955680399499</v>
      </c>
      <c r="E14" s="263">
        <v>110.22426966292134</v>
      </c>
      <c r="F14" s="263">
        <v>8.0299999999999994</v>
      </c>
      <c r="G14" s="347">
        <f t="shared" si="1"/>
        <v>118.25426966292135</v>
      </c>
      <c r="H14" s="344">
        <f t="shared" si="0"/>
        <v>1.0659342174212016</v>
      </c>
      <c r="I14" s="126"/>
      <c r="J14" s="127">
        <v>8</v>
      </c>
      <c r="K14" s="258">
        <f>AVERAGE($C$7:C14)</f>
        <v>783.875</v>
      </c>
      <c r="L14" s="262">
        <f t="shared" si="2"/>
        <v>896.24345029998562</v>
      </c>
      <c r="M14" s="263">
        <f t="shared" si="2"/>
        <v>837.16518040527671</v>
      </c>
      <c r="N14" s="263">
        <f t="shared" si="2"/>
        <v>64.239999999999995</v>
      </c>
      <c r="O14" s="348">
        <f t="shared" si="2"/>
        <v>901.40518040527684</v>
      </c>
      <c r="P14" s="377"/>
      <c r="Q14" s="126"/>
    </row>
    <row r="15" spans="1:17">
      <c r="A15" s="126"/>
      <c r="B15" s="168" t="s">
        <v>1226</v>
      </c>
      <c r="C15" s="257">
        <v>808</v>
      </c>
      <c r="D15" s="173">
        <v>110.51551980198019</v>
      </c>
      <c r="E15" s="261">
        <v>99.736559405940596</v>
      </c>
      <c r="F15" s="261">
        <v>8.0299999999999994</v>
      </c>
      <c r="G15" s="173">
        <f t="shared" si="1"/>
        <v>107.7665594059406</v>
      </c>
      <c r="H15" s="344">
        <f t="shared" si="0"/>
        <v>0.97512602391985181</v>
      </c>
      <c r="I15" s="126"/>
      <c r="J15" s="127">
        <v>9</v>
      </c>
      <c r="K15" s="258">
        <f>AVERAGE($C$7:C15)</f>
        <v>786.55555555555554</v>
      </c>
      <c r="L15" s="262">
        <f t="shared" si="2"/>
        <v>1006.7589701019658</v>
      </c>
      <c r="M15" s="263">
        <f t="shared" si="2"/>
        <v>936.90173981121734</v>
      </c>
      <c r="N15" s="263">
        <f t="shared" si="2"/>
        <v>72.27</v>
      </c>
      <c r="O15" s="348">
        <f t="shared" si="2"/>
        <v>1009.1717398112174</v>
      </c>
      <c r="P15" s="377"/>
      <c r="Q15" s="126"/>
    </row>
    <row r="16" spans="1:17">
      <c r="A16" s="126"/>
      <c r="B16" s="168" t="s">
        <v>1227</v>
      </c>
      <c r="C16" s="257">
        <v>812</v>
      </c>
      <c r="D16" s="173">
        <v>110.22285098522168</v>
      </c>
      <c r="E16" s="261">
        <v>78.950886699507393</v>
      </c>
      <c r="F16" s="261">
        <v>8.0299999999999994</v>
      </c>
      <c r="G16" s="173">
        <f t="shared" si="1"/>
        <v>86.980886699507394</v>
      </c>
      <c r="H16" s="344">
        <f t="shared" si="0"/>
        <v>0.78913660753675752</v>
      </c>
      <c r="I16" s="126"/>
      <c r="J16" s="127">
        <v>10</v>
      </c>
      <c r="K16" s="258">
        <f>AVERAGE($C$7:C16)</f>
        <v>789.1</v>
      </c>
      <c r="L16" s="262">
        <f t="shared" si="2"/>
        <v>1116.9818210871874</v>
      </c>
      <c r="M16" s="263">
        <f t="shared" si="2"/>
        <v>1015.8526265107247</v>
      </c>
      <c r="N16" s="263">
        <f t="shared" si="2"/>
        <v>80.3</v>
      </c>
      <c r="O16" s="348">
        <f t="shared" si="2"/>
        <v>1096.1526265107248</v>
      </c>
      <c r="P16" s="377"/>
      <c r="Q16" s="126"/>
    </row>
    <row r="17" spans="1:25">
      <c r="A17" s="126"/>
      <c r="B17" s="168" t="s">
        <v>1228</v>
      </c>
      <c r="C17" s="257">
        <v>812</v>
      </c>
      <c r="D17" s="173">
        <v>110.57083128078817</v>
      </c>
      <c r="E17" s="261">
        <v>105.10759852216751</v>
      </c>
      <c r="F17" s="261">
        <v>8.0299999999999994</v>
      </c>
      <c r="G17" s="173">
        <f t="shared" si="1"/>
        <v>113.13759852216751</v>
      </c>
      <c r="H17" s="344">
        <f t="shared" si="0"/>
        <v>1.023213782619226</v>
      </c>
      <c r="I17" s="126"/>
      <c r="J17" s="127">
        <v>11</v>
      </c>
      <c r="K17" s="258">
        <f>AVERAGE($C$7:C17)</f>
        <v>791.18181818181813</v>
      </c>
      <c r="L17" s="262">
        <f t="shared" si="2"/>
        <v>1227.5526523679755</v>
      </c>
      <c r="M17" s="263">
        <f t="shared" si="2"/>
        <v>1120.9602250328921</v>
      </c>
      <c r="N17" s="263">
        <f t="shared" si="2"/>
        <v>88.33</v>
      </c>
      <c r="O17" s="348">
        <f t="shared" si="2"/>
        <v>1209.2902250328923</v>
      </c>
      <c r="P17" s="377"/>
      <c r="Q17" s="126"/>
    </row>
    <row r="18" spans="1:25" ht="13.5" thickBot="1">
      <c r="A18" s="126"/>
      <c r="B18" s="168" t="s">
        <v>1229</v>
      </c>
      <c r="C18" s="264">
        <v>815</v>
      </c>
      <c r="D18" s="181">
        <v>110.45045398773006</v>
      </c>
      <c r="E18" s="265">
        <v>80.471595092024543</v>
      </c>
      <c r="F18" s="265">
        <v>8.0299999999999994</v>
      </c>
      <c r="G18" s="181">
        <f t="shared" si="1"/>
        <v>88.501595092024544</v>
      </c>
      <c r="H18" s="349">
        <f t="shared" si="0"/>
        <v>0.80127869009806141</v>
      </c>
      <c r="I18" s="126"/>
      <c r="J18" s="127">
        <v>12</v>
      </c>
      <c r="K18" s="350">
        <f>AVERAGE($C$7:C18)</f>
        <v>793.16666666666663</v>
      </c>
      <c r="L18" s="266">
        <f t="shared" si="2"/>
        <v>1338.0031063557055</v>
      </c>
      <c r="M18" s="267">
        <f t="shared" si="2"/>
        <v>1201.4318201249166</v>
      </c>
      <c r="N18" s="267">
        <f t="shared" si="2"/>
        <v>96.36</v>
      </c>
      <c r="O18" s="351">
        <f t="shared" si="2"/>
        <v>1297.7918201249167</v>
      </c>
      <c r="P18" s="377"/>
      <c r="Q18" s="126"/>
    </row>
    <row r="19" spans="1:25" ht="12.75" customHeight="1" thickTop="1">
      <c r="A19" s="126"/>
      <c r="B19" s="321" t="s">
        <v>1230</v>
      </c>
      <c r="C19" s="257">
        <v>828</v>
      </c>
      <c r="D19" s="173">
        <v>117.55136473429951</v>
      </c>
      <c r="E19" s="261">
        <v>75.713405797101444</v>
      </c>
      <c r="F19" s="261">
        <v>8.43</v>
      </c>
      <c r="G19" s="173">
        <f t="shared" si="1"/>
        <v>84.143405797101451</v>
      </c>
      <c r="H19" s="344">
        <f t="shared" si="0"/>
        <v>0.71580118178372643</v>
      </c>
      <c r="I19" s="126"/>
      <c r="J19" s="127"/>
      <c r="K19" s="203"/>
      <c r="L19" s="203"/>
      <c r="M19" s="203"/>
      <c r="N19" s="203"/>
      <c r="O19" s="203"/>
      <c r="P19" s="269"/>
      <c r="Q19" s="126"/>
    </row>
    <row r="20" spans="1:25" ht="12.75" customHeight="1">
      <c r="A20" s="126"/>
      <c r="B20" s="168" t="s">
        <v>1219</v>
      </c>
      <c r="C20" s="257">
        <v>824</v>
      </c>
      <c r="D20" s="173">
        <v>117.32114077669902</v>
      </c>
      <c r="E20" s="261">
        <v>135.26871359223301</v>
      </c>
      <c r="F20" s="261">
        <v>8.43</v>
      </c>
      <c r="G20" s="173">
        <f t="shared" si="1"/>
        <v>143.69871359223302</v>
      </c>
      <c r="H20" s="344">
        <f t="shared" si="0"/>
        <v>1.2248322224017516</v>
      </c>
      <c r="I20" s="126"/>
      <c r="J20" s="127"/>
      <c r="K20" s="203"/>
      <c r="L20" s="203"/>
      <c r="M20" s="203"/>
      <c r="N20" s="203"/>
      <c r="O20" s="203"/>
      <c r="P20" s="269"/>
      <c r="Q20" s="126"/>
    </row>
    <row r="21" spans="1:25" ht="12.75" customHeight="1">
      <c r="A21" s="126"/>
      <c r="B21" s="168" t="s">
        <v>1220</v>
      </c>
      <c r="C21" s="257">
        <v>825</v>
      </c>
      <c r="D21" s="173">
        <v>116.9591212121212</v>
      </c>
      <c r="E21" s="261">
        <v>122.54877575757577</v>
      </c>
      <c r="F21" s="261">
        <v>8.43</v>
      </c>
      <c r="G21" s="173">
        <f t="shared" si="1"/>
        <v>130.97877575757576</v>
      </c>
      <c r="H21" s="344">
        <f t="shared" si="0"/>
        <v>1.119867988064206</v>
      </c>
      <c r="I21" s="126"/>
      <c r="J21" s="127"/>
      <c r="K21" s="203"/>
      <c r="L21" s="203"/>
      <c r="M21" s="203"/>
      <c r="N21" s="203"/>
      <c r="O21" s="203"/>
      <c r="P21" s="269"/>
      <c r="Q21" s="126"/>
    </row>
    <row r="22" spans="1:25" ht="12.75" customHeight="1">
      <c r="A22" s="126"/>
      <c r="B22" s="168" t="s">
        <v>1221</v>
      </c>
      <c r="C22" s="257">
        <v>819</v>
      </c>
      <c r="D22" s="173">
        <v>116.80213675213676</v>
      </c>
      <c r="E22" s="261">
        <v>99.655518925518919</v>
      </c>
      <c r="F22" s="261">
        <v>8.43</v>
      </c>
      <c r="G22" s="173">
        <f t="shared" si="1"/>
        <v>108.08551892551893</v>
      </c>
      <c r="H22" s="344">
        <f t="shared" si="0"/>
        <v>0.92537278795579592</v>
      </c>
      <c r="I22" s="126"/>
      <c r="J22" s="127"/>
      <c r="K22" s="203"/>
      <c r="L22" s="203"/>
      <c r="M22" s="203"/>
      <c r="N22" s="203"/>
      <c r="O22" s="203"/>
      <c r="P22" s="269"/>
      <c r="Q22" s="126"/>
    </row>
    <row r="23" spans="1:25" ht="12.75" customHeight="1">
      <c r="A23" s="126"/>
      <c r="B23" s="168" t="s">
        <v>1222</v>
      </c>
      <c r="C23" s="257">
        <v>825</v>
      </c>
      <c r="D23" s="173">
        <v>116.63694545454545</v>
      </c>
      <c r="E23" s="261">
        <v>101.84894545454546</v>
      </c>
      <c r="F23" s="261">
        <v>8.43</v>
      </c>
      <c r="G23" s="173">
        <f t="shared" si="1"/>
        <v>110.27894545454546</v>
      </c>
      <c r="H23" s="344">
        <f t="shared" si="0"/>
        <v>0.9454889702810525</v>
      </c>
      <c r="I23" s="126"/>
      <c r="J23" s="193"/>
      <c r="K23" s="210"/>
      <c r="L23" s="210"/>
      <c r="M23" s="210"/>
      <c r="N23" s="210"/>
      <c r="O23" s="210"/>
      <c r="P23" s="192"/>
    </row>
    <row r="24" spans="1:25" ht="12.75" customHeight="1">
      <c r="A24" s="126"/>
      <c r="B24" s="155" t="s">
        <v>1223</v>
      </c>
      <c r="C24" s="257"/>
      <c r="D24" s="173"/>
      <c r="E24" s="261"/>
      <c r="F24" s="261"/>
      <c r="G24" s="173"/>
      <c r="H24" s="344"/>
      <c r="I24" s="126"/>
      <c r="J24" s="193"/>
      <c r="K24" s="210"/>
      <c r="L24" s="210"/>
      <c r="M24" s="210"/>
      <c r="N24" s="210"/>
      <c r="O24" s="210"/>
      <c r="P24" s="192"/>
    </row>
    <row r="25" spans="1:25" ht="12.75" customHeight="1">
      <c r="A25" s="126"/>
      <c r="B25" s="168" t="s">
        <v>1224</v>
      </c>
      <c r="C25" s="257"/>
      <c r="D25" s="173"/>
      <c r="E25" s="261"/>
      <c r="F25" s="261"/>
      <c r="G25" s="173"/>
      <c r="H25" s="344"/>
      <c r="I25" s="126"/>
      <c r="J25" s="193"/>
      <c r="K25" s="210"/>
      <c r="L25" s="210"/>
      <c r="M25" s="210"/>
      <c r="N25" s="210"/>
      <c r="O25" s="210"/>
      <c r="P25" s="192"/>
    </row>
    <row r="26" spans="1:25" ht="12.75" customHeight="1">
      <c r="A26" s="126"/>
      <c r="B26" s="168" t="s">
        <v>1225</v>
      </c>
      <c r="C26" s="257"/>
      <c r="D26" s="173"/>
      <c r="E26" s="261"/>
      <c r="F26" s="261"/>
      <c r="G26" s="173"/>
      <c r="H26" s="344"/>
      <c r="I26" s="126"/>
      <c r="J26" s="193"/>
      <c r="K26" s="210"/>
      <c r="L26" s="210"/>
      <c r="M26" s="210"/>
      <c r="N26" s="210"/>
      <c r="O26" s="210"/>
      <c r="P26" s="192"/>
    </row>
    <row r="27" spans="1:25" ht="12.75" customHeight="1">
      <c r="A27" s="126"/>
      <c r="B27" s="168" t="s">
        <v>1226</v>
      </c>
      <c r="C27" s="257"/>
      <c r="D27" s="173"/>
      <c r="E27" s="261"/>
      <c r="F27" s="261"/>
      <c r="G27" s="173"/>
      <c r="H27" s="344"/>
      <c r="I27" s="126"/>
      <c r="J27" s="193"/>
      <c r="K27" s="210"/>
      <c r="L27" s="210"/>
      <c r="M27" s="210"/>
      <c r="N27" s="210"/>
      <c r="O27" s="210"/>
      <c r="P27" s="192"/>
    </row>
    <row r="28" spans="1:25" ht="12.75" customHeight="1">
      <c r="A28" s="126"/>
      <c r="B28" s="168" t="s">
        <v>1227</v>
      </c>
      <c r="C28" s="257"/>
      <c r="D28" s="173"/>
      <c r="E28" s="261"/>
      <c r="F28" s="261"/>
      <c r="G28" s="173"/>
      <c r="H28" s="344"/>
      <c r="I28" s="126"/>
      <c r="J28" s="193"/>
      <c r="K28" s="210"/>
      <c r="L28" s="210"/>
      <c r="M28" s="210"/>
      <c r="N28" s="210"/>
      <c r="O28" s="210"/>
      <c r="P28" s="192"/>
    </row>
    <row r="29" spans="1:25" ht="12.75" customHeight="1">
      <c r="A29" s="126"/>
      <c r="B29" s="168" t="s">
        <v>1228</v>
      </c>
      <c r="C29" s="257"/>
      <c r="D29" s="173"/>
      <c r="E29" s="261"/>
      <c r="F29" s="261"/>
      <c r="G29" s="173"/>
      <c r="H29" s="344"/>
      <c r="I29" s="126"/>
      <c r="J29" s="193"/>
      <c r="K29" s="210"/>
      <c r="L29" s="210"/>
      <c r="M29" s="210"/>
      <c r="N29" s="210"/>
      <c r="O29" s="210"/>
      <c r="P29" s="192"/>
    </row>
    <row r="30" spans="1:25" ht="12.75" customHeight="1" thickBot="1">
      <c r="A30" s="126"/>
      <c r="B30" s="198" t="s">
        <v>1229</v>
      </c>
      <c r="C30" s="268"/>
      <c r="D30" s="201"/>
      <c r="E30" s="270"/>
      <c r="F30" s="270"/>
      <c r="G30" s="201"/>
      <c r="H30" s="352"/>
      <c r="I30" s="126"/>
      <c r="J30" s="193"/>
      <c r="K30" s="210"/>
      <c r="L30" s="210"/>
      <c r="M30" s="210"/>
      <c r="N30" s="210"/>
      <c r="O30" s="210"/>
      <c r="P30" s="192"/>
    </row>
    <row r="31" spans="1:25" ht="14.85" customHeight="1">
      <c r="A31" s="202"/>
      <c r="B31" s="203"/>
      <c r="C31" s="204"/>
      <c r="D31" s="204"/>
      <c r="E31" s="204"/>
      <c r="F31" s="204"/>
      <c r="G31" s="204"/>
      <c r="H31" s="204"/>
      <c r="I31" s="191"/>
      <c r="J31" s="194"/>
      <c r="K31" s="194"/>
      <c r="L31" s="194"/>
      <c r="M31" s="205"/>
      <c r="N31" s="193"/>
      <c r="O31" s="195"/>
      <c r="P31" s="195"/>
      <c r="Q31" s="195"/>
      <c r="R31" s="136"/>
      <c r="S31" s="195"/>
      <c r="T31" s="195"/>
      <c r="U31" s="196"/>
      <c r="V31" s="195"/>
      <c r="W31" s="195"/>
      <c r="X31" s="195"/>
      <c r="Y31" s="197"/>
    </row>
    <row r="32" spans="1:25" ht="12" customHeight="1" thickBot="1">
      <c r="A32" s="206"/>
      <c r="B32" s="207"/>
      <c r="C32" s="353"/>
      <c r="D32" s="353"/>
      <c r="E32" s="353"/>
      <c r="F32" s="353"/>
      <c r="G32" s="353"/>
      <c r="H32" s="353"/>
      <c r="I32" s="353"/>
      <c r="J32" s="378"/>
      <c r="K32" s="378"/>
      <c r="L32" s="379"/>
      <c r="N32" s="193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192"/>
    </row>
    <row r="33" spans="1:25" ht="13.35" customHeight="1">
      <c r="A33" s="226"/>
      <c r="B33" s="211" t="s">
        <v>1231</v>
      </c>
      <c r="C33" s="380">
        <f>AVERAGE(C19:C30)</f>
        <v>824.2</v>
      </c>
      <c r="D33" s="212">
        <f>SUM(D19:D30)</f>
        <v>585.27070892980191</v>
      </c>
      <c r="E33" s="355">
        <f>SUM(E19:E30)</f>
        <v>535.03535952697462</v>
      </c>
      <c r="F33" s="355">
        <f>SUM(F19:F30)</f>
        <v>42.15</v>
      </c>
      <c r="G33" s="212">
        <f>SUM(G19:G30)</f>
        <v>577.18535952697459</v>
      </c>
      <c r="H33" s="356">
        <f>G33/D33</f>
        <v>0.98618528267438532</v>
      </c>
      <c r="I33" s="353"/>
      <c r="J33" s="378"/>
      <c r="K33" s="378"/>
      <c r="L33" s="379"/>
      <c r="N33" s="193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192"/>
    </row>
    <row r="34" spans="1:25" ht="13.35" customHeight="1">
      <c r="A34" s="226"/>
      <c r="B34" s="214" t="s">
        <v>1232</v>
      </c>
      <c r="C34" s="381">
        <f>((LOOKUP($K$2,$J$7:$J$18,K7:K18)))</f>
        <v>779.6</v>
      </c>
      <c r="D34" s="272">
        <f>((LOOKUP($K$2,$J$7:$J$18,L7:L18)))</f>
        <v>562.07862146268496</v>
      </c>
      <c r="E34" s="273">
        <f>((LOOKUP($K$2,$J$7:$J$18,M7:M18)))</f>
        <v>526.70856963078393</v>
      </c>
      <c r="F34" s="273">
        <f>((LOOKUP($K$2,$J$7:$J$18,N7:N18)))</f>
        <v>40.15</v>
      </c>
      <c r="G34" s="272">
        <f>((LOOKUP($K$2,$J$7:$J$18,O7:O18)))</f>
        <v>566.8585696307839</v>
      </c>
      <c r="H34" s="358">
        <f>G34/D34</f>
        <v>1.0085040561686196</v>
      </c>
      <c r="I34" s="359"/>
      <c r="J34" s="382"/>
      <c r="K34" s="382"/>
      <c r="L34" s="379"/>
      <c r="N34" s="193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192"/>
    </row>
    <row r="35" spans="1:25" ht="13.35" customHeight="1" thickBot="1">
      <c r="A35" s="226"/>
      <c r="B35" s="217" t="s">
        <v>1233</v>
      </c>
      <c r="C35" s="218">
        <f t="shared" ref="C35:H35" si="3">(C33/C34)-1</f>
        <v>5.7208825038481237E-2</v>
      </c>
      <c r="D35" s="219">
        <f t="shared" si="3"/>
        <v>4.1261287267543967E-2</v>
      </c>
      <c r="E35" s="218">
        <f t="shared" si="3"/>
        <v>1.5809102749225534E-2</v>
      </c>
      <c r="F35" s="218">
        <f t="shared" si="3"/>
        <v>4.9813200498131982E-2</v>
      </c>
      <c r="G35" s="219">
        <f t="shared" si="3"/>
        <v>1.8217577451315359E-2</v>
      </c>
      <c r="H35" s="360">
        <f t="shared" si="3"/>
        <v>-2.213057385116024E-2</v>
      </c>
      <c r="I35" s="361"/>
      <c r="J35" s="379"/>
      <c r="K35" s="379"/>
      <c r="L35" s="379"/>
      <c r="N35" s="193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192"/>
    </row>
    <row r="36" spans="1:25" ht="13.35" customHeight="1">
      <c r="A36" s="202"/>
      <c r="B36" s="202"/>
      <c r="C36" s="207" t="s">
        <v>1234</v>
      </c>
      <c r="D36" s="204"/>
      <c r="E36" s="204"/>
      <c r="F36" s="204"/>
      <c r="G36" s="191"/>
      <c r="H36" s="191"/>
      <c r="I36" s="191"/>
      <c r="J36" s="194"/>
      <c r="K36" s="194"/>
      <c r="L36" s="194"/>
      <c r="N36" s="193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192"/>
    </row>
    <row r="37" spans="1:25" ht="13.35" customHeight="1" thickBot="1">
      <c r="A37" s="206"/>
      <c r="B37" s="206"/>
      <c r="C37" s="204"/>
      <c r="D37" s="204"/>
      <c r="E37" s="204"/>
      <c r="F37" s="204"/>
      <c r="G37" s="191"/>
      <c r="H37" s="191"/>
      <c r="I37" s="191"/>
      <c r="J37" s="194"/>
      <c r="K37" s="194"/>
      <c r="L37" s="194"/>
      <c r="N37" s="193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192"/>
    </row>
    <row r="38" spans="1:25" ht="13.35" customHeight="1" thickBot="1">
      <c r="A38" s="226"/>
      <c r="B38" s="222" t="s">
        <v>1235</v>
      </c>
      <c r="C38" s="383">
        <f>AVERAGE(C7:C18)</f>
        <v>793.16666666666663</v>
      </c>
      <c r="D38" s="223">
        <f>SUM(D7:D18)</f>
        <v>1338.0031063557055</v>
      </c>
      <c r="E38" s="363">
        <f>SUM(E7:E18)</f>
        <v>1201.4318201249166</v>
      </c>
      <c r="F38" s="363">
        <f>SUM(F7:F18)</f>
        <v>96.36</v>
      </c>
      <c r="G38" s="223">
        <f>SUM(G7:G18)</f>
        <v>1297.7918201249167</v>
      </c>
      <c r="H38" s="364">
        <f>G38/D38</f>
        <v>0.96994679157336816</v>
      </c>
      <c r="I38" s="353"/>
      <c r="J38" s="378"/>
      <c r="K38" s="378"/>
      <c r="L38" s="379"/>
      <c r="N38" s="193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192"/>
    </row>
    <row r="39" spans="1:25" ht="13.35" customHeight="1">
      <c r="A39" s="226"/>
      <c r="B39" s="365"/>
      <c r="C39" s="207" t="s">
        <v>1234</v>
      </c>
      <c r="D39" s="353"/>
      <c r="E39" s="353"/>
      <c r="F39" s="353"/>
      <c r="G39" s="353"/>
      <c r="H39" s="353"/>
      <c r="I39" s="353"/>
      <c r="J39" s="378"/>
      <c r="K39" s="378"/>
      <c r="L39" s="379"/>
      <c r="N39" s="193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192"/>
    </row>
    <row r="40" spans="1:25" ht="13.35" customHeight="1">
      <c r="A40" s="226"/>
      <c r="B40" s="365"/>
      <c r="C40" s="353"/>
      <c r="D40" s="353"/>
      <c r="E40" s="353"/>
      <c r="F40" s="353"/>
      <c r="G40" s="353"/>
      <c r="H40" s="353"/>
      <c r="I40" s="353"/>
      <c r="J40" s="378"/>
      <c r="K40" s="378"/>
      <c r="L40" s="379"/>
      <c r="N40" s="193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192"/>
    </row>
    <row r="41" spans="1:25" ht="13.35" customHeight="1" thickBot="1">
      <c r="A41" s="227"/>
      <c r="B41" s="227" t="s">
        <v>1236</v>
      </c>
      <c r="C41" s="353"/>
      <c r="D41" s="353"/>
      <c r="E41" s="353"/>
      <c r="F41" s="353"/>
      <c r="G41" s="353"/>
      <c r="H41" s="353"/>
      <c r="I41" s="353"/>
      <c r="J41" s="378"/>
      <c r="K41" s="378"/>
      <c r="L41" s="379"/>
      <c r="N41" s="193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192"/>
    </row>
    <row r="42" spans="1:25" s="231" customFormat="1" ht="13.35" customHeight="1">
      <c r="A42" s="226"/>
      <c r="B42" s="366" t="s">
        <v>1237</v>
      </c>
      <c r="C42" s="384">
        <f ca="1">AVERAGE(OFFSET(C7,COUNT(C8:C30),0,-3))</f>
        <v>823</v>
      </c>
      <c r="D42" s="274">
        <f ca="1">SUM(OFFSET(D7,COUNT(D8:D30),0,-3))</f>
        <v>350.3982034188034</v>
      </c>
      <c r="E42" s="230">
        <f ca="1">SUM(OFFSET(E7,COUNT(E8:E30),0,-3))</f>
        <v>324.05324013764016</v>
      </c>
      <c r="F42" s="230">
        <f ca="1">SUM(OFFSET(F7,COUNT(F8:F30),0,-3))</f>
        <v>25.29</v>
      </c>
      <c r="G42" s="274">
        <f ca="1">SUM(OFFSET(G7,COUNT(G8:G30),0,-3))</f>
        <v>349.34324013764012</v>
      </c>
      <c r="H42" s="368">
        <f ca="1">G42/D42</f>
        <v>0.99698924460550853</v>
      </c>
      <c r="I42" s="359"/>
      <c r="J42" s="382"/>
      <c r="K42" s="385"/>
      <c r="L42" s="379"/>
      <c r="N42" s="193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192"/>
    </row>
    <row r="43" spans="1:25" ht="13.35" customHeight="1">
      <c r="A43" s="226"/>
      <c r="B43" s="369" t="s">
        <v>1238</v>
      </c>
      <c r="C43" s="386">
        <f ca="1">AVERAGE(OFFSET(C7,COUNT(C8:C30),0,-6))</f>
        <v>822.66666666666663</v>
      </c>
      <c r="D43" s="371">
        <f ca="1">SUM(OFFSET(D7,COUNT(D8:D30),0,-6))</f>
        <v>695.72116291753196</v>
      </c>
      <c r="E43" s="235">
        <f ca="1">SUM(OFFSET(E7,COUNT(E8:E30),0,-6))</f>
        <v>615.50695461899909</v>
      </c>
      <c r="F43" s="236">
        <f ca="1">SUM(OFFSET(F7,COUNT(F8:F30),0,-6))</f>
        <v>50.18</v>
      </c>
      <c r="G43" s="233">
        <f ca="1">SUM(OFFSET(G7,COUNT(G8:G30),0,-6))</f>
        <v>665.68695461899915</v>
      </c>
      <c r="H43" s="358">
        <f ca="1">G43/D43</f>
        <v>0.9568301068022953</v>
      </c>
      <c r="I43" s="237"/>
      <c r="J43" s="385"/>
      <c r="K43" s="385"/>
      <c r="L43" s="379"/>
      <c r="N43" s="193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192"/>
    </row>
    <row r="44" spans="1:25" ht="13.35" customHeight="1" thickBot="1">
      <c r="A44" s="226"/>
      <c r="B44" s="372" t="s">
        <v>1239</v>
      </c>
      <c r="C44" s="387">
        <f ca="1">AVERAGE(OFFSET(C7,COUNT(C8:C30),0,-12))</f>
        <v>811.75</v>
      </c>
      <c r="D44" s="374">
        <f ca="1">SUM(OFFSET(D7,COUNT(D8:D30),0,-12))</f>
        <v>1361.1951938228226</v>
      </c>
      <c r="E44" s="242">
        <f ca="1">SUM(OFFSET(E7,COUNT(E8:E30),0,-12))</f>
        <v>1209.7586100211076</v>
      </c>
      <c r="F44" s="243">
        <f ca="1">SUM(OFFSET(F7,COUNT(F8:F30),0,-12))</f>
        <v>98.360000000000014</v>
      </c>
      <c r="G44" s="240">
        <f ca="1">SUM(OFFSET(G7,COUNT(G8:G30),0,-12))</f>
        <v>1308.1186100211075</v>
      </c>
      <c r="H44" s="375">
        <f ca="1">G44/D44</f>
        <v>0.96100736761150829</v>
      </c>
      <c r="I44" s="237"/>
      <c r="J44" s="385"/>
      <c r="K44" s="385"/>
      <c r="L44" s="379"/>
      <c r="N44" s="193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192"/>
    </row>
    <row r="45" spans="1:25" ht="13.5" customHeight="1">
      <c r="A45" s="202"/>
      <c r="B45" s="365"/>
      <c r="C45" s="207" t="s">
        <v>1234</v>
      </c>
      <c r="D45" s="244"/>
      <c r="E45" s="204"/>
      <c r="F45" s="204"/>
      <c r="G45" s="191"/>
      <c r="H45" s="191"/>
      <c r="I45" s="191"/>
      <c r="J45" s="194"/>
      <c r="K45" s="194"/>
      <c r="L45" s="194"/>
      <c r="N45" s="193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192"/>
    </row>
    <row r="46" spans="1:25" s="247" customFormat="1" ht="13.5" customHeight="1">
      <c r="A46" s="126"/>
      <c r="B46" s="275"/>
      <c r="C46" s="260"/>
      <c r="D46" s="260"/>
      <c r="E46" s="260"/>
      <c r="F46" s="137"/>
      <c r="G46" s="137"/>
      <c r="H46" s="137"/>
      <c r="I46" s="126"/>
      <c r="J46" s="193"/>
      <c r="K46" s="193"/>
      <c r="L46" s="193"/>
    </row>
    <row r="47" spans="1:25">
      <c r="B47" s="248"/>
      <c r="C47" s="205"/>
      <c r="D47" s="205"/>
      <c r="E47" s="205"/>
      <c r="F47" s="136"/>
      <c r="G47" s="136"/>
      <c r="H47" s="136"/>
    </row>
    <row r="48" spans="1:25">
      <c r="B48" s="248"/>
      <c r="C48" s="205"/>
      <c r="D48" s="205"/>
      <c r="E48" s="205"/>
      <c r="F48" s="205"/>
      <c r="G48" s="205"/>
      <c r="H48" s="136"/>
    </row>
    <row r="49" spans="2:8">
      <c r="B49" s="248"/>
      <c r="C49" s="205"/>
      <c r="D49" s="205"/>
      <c r="E49" s="205"/>
      <c r="F49" s="205"/>
      <c r="G49" s="205"/>
      <c r="H49" s="136"/>
    </row>
    <row r="50" spans="2:8">
      <c r="B50" s="248"/>
      <c r="C50" s="205"/>
      <c r="D50" s="205"/>
      <c r="E50" s="205"/>
      <c r="F50" s="205"/>
      <c r="G50" s="205"/>
      <c r="H50" s="136"/>
    </row>
    <row r="51" spans="2:8">
      <c r="B51" s="248"/>
      <c r="C51" s="205"/>
      <c r="D51" s="205"/>
      <c r="E51" s="205"/>
      <c r="F51" s="205"/>
      <c r="G51" s="205"/>
      <c r="H51" s="136"/>
    </row>
    <row r="52" spans="2:8">
      <c r="C52" s="205"/>
      <c r="D52" s="205"/>
      <c r="E52" s="205"/>
      <c r="F52" s="205"/>
      <c r="G52" s="205"/>
    </row>
    <row r="53" spans="2:8">
      <c r="C53" s="205"/>
      <c r="D53" s="205"/>
      <c r="E53" s="205"/>
      <c r="F53" s="205"/>
      <c r="G53" s="205"/>
    </row>
  </sheetData>
  <mergeCells count="3">
    <mergeCell ref="A1:I1"/>
    <mergeCell ref="A2:I2"/>
    <mergeCell ref="A3:I3"/>
  </mergeCells>
  <printOptions horizontalCentered="1"/>
  <pageMargins left="0.25" right="0.25" top="0.5" bottom="0.25" header="0.5" footer="0.15"/>
  <pageSetup scale="77" orientation="landscape" r:id="rId1"/>
  <headerFooter scaleWithDoc="0" alignWithMargins="0">
    <oddFooter>&amp;C
&amp;"Times New Roman,Regular"
&amp;"Arial,Regular"&amp;P&amp;R&amp;"Times New Roman,Regular"                &amp;"Arial,Regular"            Davidson Benefits Planning - An Alera Group Company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BB783-A0C8-4EF7-96BC-55E50AC2A6F4}">
  <sheetPr>
    <tabColor theme="3"/>
    <pageSetUpPr fitToPage="1"/>
  </sheetPr>
  <dimension ref="A1:Y46"/>
  <sheetViews>
    <sheetView showGridLines="0" view="pageBreakPreview" topLeftCell="A2" zoomScale="85" zoomScaleNormal="85" zoomScaleSheetLayoutView="85" workbookViewId="0">
      <selection sqref="A1:L1"/>
    </sheetView>
  </sheetViews>
  <sheetFormatPr defaultColWidth="9.33203125" defaultRowHeight="12.75"/>
  <cols>
    <col min="1" max="1" width="23.6640625" style="125" customWidth="1"/>
    <col min="2" max="2" width="22.6640625" style="125" customWidth="1"/>
    <col min="3" max="8" width="13.33203125" style="125" customWidth="1"/>
    <col min="9" max="9" width="23.6640625" style="125" customWidth="1"/>
    <col min="10" max="16" width="18.77734375" style="125" customWidth="1"/>
    <col min="17" max="18" width="18.77734375" style="195" customWidth="1"/>
    <col min="19" max="23" width="18.77734375" style="125" customWidth="1"/>
    <col min="24" max="16384" width="9.33203125" style="125"/>
  </cols>
  <sheetData>
    <row r="1" spans="1:18" ht="25.15" customHeight="1">
      <c r="A1" s="1153" t="s">
        <v>1189</v>
      </c>
      <c r="B1" s="1153"/>
      <c r="C1" s="1153"/>
      <c r="D1" s="1153"/>
      <c r="E1" s="1153"/>
      <c r="F1" s="1153"/>
      <c r="G1" s="1153"/>
      <c r="H1" s="1153"/>
      <c r="I1" s="1153"/>
      <c r="K1" s="127" t="s">
        <v>61</v>
      </c>
    </row>
    <row r="2" spans="1:18" s="128" customFormat="1" ht="14.1" customHeight="1">
      <c r="A2" s="1154" t="s">
        <v>1264</v>
      </c>
      <c r="B2" s="1154"/>
      <c r="C2" s="1154"/>
      <c r="D2" s="1154"/>
      <c r="E2" s="1154"/>
      <c r="F2" s="1154"/>
      <c r="G2" s="1154"/>
      <c r="H2" s="1154"/>
      <c r="I2" s="1154"/>
      <c r="K2" s="127">
        <f>COUNT(C19:C30)</f>
        <v>5</v>
      </c>
      <c r="Q2" s="631"/>
      <c r="R2" s="631"/>
    </row>
    <row r="3" spans="1:18" s="128" customFormat="1" ht="14.1" customHeight="1">
      <c r="A3" s="1154" t="s">
        <v>1265</v>
      </c>
      <c r="B3" s="1154"/>
      <c r="C3" s="1154"/>
      <c r="D3" s="1154"/>
      <c r="E3" s="1154"/>
      <c r="F3" s="1154"/>
      <c r="G3" s="1154"/>
      <c r="H3" s="1154"/>
      <c r="I3" s="1154"/>
      <c r="Q3" s="631"/>
      <c r="R3" s="631"/>
    </row>
    <row r="4" spans="1:18" ht="30.75" customHeight="1">
      <c r="A4" s="126"/>
      <c r="B4" s="255"/>
      <c r="C4" s="126"/>
      <c r="D4" s="137"/>
      <c r="E4" s="137"/>
      <c r="F4" s="137"/>
      <c r="G4" s="137"/>
      <c r="H4" s="137"/>
      <c r="I4" s="126"/>
      <c r="J4" s="126"/>
      <c r="K4" s="126"/>
      <c r="L4" s="126"/>
      <c r="M4" s="126"/>
      <c r="N4" s="126"/>
      <c r="O4" s="126"/>
    </row>
    <row r="5" spans="1:18" ht="18" customHeight="1" thickBot="1">
      <c r="A5" s="126"/>
      <c r="B5" s="133"/>
      <c r="C5" s="134" t="s">
        <v>1192</v>
      </c>
      <c r="D5" s="135" t="s">
        <v>1193</v>
      </c>
      <c r="E5" s="135" t="s">
        <v>1194</v>
      </c>
      <c r="F5" s="135" t="s">
        <v>1195</v>
      </c>
      <c r="G5" s="135" t="s">
        <v>1196</v>
      </c>
      <c r="H5" s="135" t="s">
        <v>1197</v>
      </c>
      <c r="I5" s="126"/>
      <c r="J5" s="126"/>
      <c r="K5" s="126"/>
      <c r="L5" s="126"/>
      <c r="M5" s="126"/>
      <c r="N5" s="126"/>
      <c r="O5" s="126"/>
    </row>
    <row r="6" spans="1:18" s="154" customFormat="1" ht="52.5" customHeight="1" thickBot="1">
      <c r="A6" s="256"/>
      <c r="B6" s="139" t="s">
        <v>1203</v>
      </c>
      <c r="C6" s="142" t="s">
        <v>1204</v>
      </c>
      <c r="D6" s="141" t="s">
        <v>90</v>
      </c>
      <c r="E6" s="142" t="s">
        <v>1266</v>
      </c>
      <c r="F6" s="140" t="s">
        <v>1244</v>
      </c>
      <c r="G6" s="141" t="s">
        <v>1245</v>
      </c>
      <c r="H6" s="336" t="s">
        <v>1246</v>
      </c>
      <c r="I6" s="337"/>
      <c r="J6" s="256"/>
      <c r="K6" s="338" t="str">
        <f t="shared" ref="K6:O7" si="0">C6</f>
        <v>Number of Enrolled Employees</v>
      </c>
      <c r="L6" s="339" t="str">
        <f t="shared" si="0"/>
        <v>Funding</v>
      </c>
      <c r="M6" s="340" t="str">
        <f t="shared" si="0"/>
        <v>Vision
Paid Claims</v>
      </c>
      <c r="N6" s="339" t="str">
        <f t="shared" si="0"/>
        <v>Fixed       Expenses</v>
      </c>
      <c r="O6" s="341" t="str">
        <f t="shared" si="0"/>
        <v>Net Expenses
( c + d )</v>
      </c>
      <c r="P6" s="342"/>
      <c r="Q6" s="252"/>
      <c r="R6" s="252"/>
    </row>
    <row r="7" spans="1:18">
      <c r="A7" s="126"/>
      <c r="B7" s="155" t="s">
        <v>1217</v>
      </c>
      <c r="C7" s="257">
        <v>552</v>
      </c>
      <c r="D7" s="343">
        <v>11710.400000000001</v>
      </c>
      <c r="E7" s="259">
        <v>13938</v>
      </c>
      <c r="F7" s="259">
        <v>1115.04</v>
      </c>
      <c r="G7" s="343">
        <f>E7+F7</f>
        <v>15053.04</v>
      </c>
      <c r="H7" s="344">
        <f>+G7/D7</f>
        <v>1.2854420002732614</v>
      </c>
      <c r="I7" s="126"/>
      <c r="J7" s="127">
        <v>1</v>
      </c>
      <c r="K7" s="258">
        <f t="shared" si="0"/>
        <v>552</v>
      </c>
      <c r="L7" s="165">
        <f t="shared" si="0"/>
        <v>11710.400000000001</v>
      </c>
      <c r="M7" s="259">
        <f t="shared" si="0"/>
        <v>13938</v>
      </c>
      <c r="N7" s="259">
        <f t="shared" si="0"/>
        <v>1115.04</v>
      </c>
      <c r="O7" s="345">
        <f t="shared" si="0"/>
        <v>15053.04</v>
      </c>
      <c r="P7" s="346"/>
    </row>
    <row r="8" spans="1:18">
      <c r="A8" s="126"/>
      <c r="B8" s="168" t="s">
        <v>1219</v>
      </c>
      <c r="C8" s="257">
        <v>552</v>
      </c>
      <c r="D8" s="347">
        <v>11752.87</v>
      </c>
      <c r="E8" s="263">
        <v>9803</v>
      </c>
      <c r="F8" s="263">
        <v>1115.04</v>
      </c>
      <c r="G8" s="347">
        <f>E8+F8</f>
        <v>10918.04</v>
      </c>
      <c r="H8" s="344">
        <f t="shared" ref="H8:H23" si="1">+G8/D8</f>
        <v>0.92896798824457349</v>
      </c>
      <c r="I8" s="126"/>
      <c r="J8" s="127">
        <v>2</v>
      </c>
      <c r="K8" s="258">
        <f>AVERAGE($C$7:C8)</f>
        <v>552</v>
      </c>
      <c r="L8" s="262">
        <f>L7+D8</f>
        <v>23463.270000000004</v>
      </c>
      <c r="M8" s="263">
        <f>M7+E8</f>
        <v>23741</v>
      </c>
      <c r="N8" s="263">
        <f>N7+F8</f>
        <v>2230.08</v>
      </c>
      <c r="O8" s="348">
        <f>O7+G8</f>
        <v>25971.08</v>
      </c>
      <c r="P8" s="346"/>
    </row>
    <row r="9" spans="1:18">
      <c r="A9" s="126"/>
      <c r="B9" s="168" t="s">
        <v>1220</v>
      </c>
      <c r="C9" s="257">
        <v>553</v>
      </c>
      <c r="D9" s="347">
        <v>11771.05</v>
      </c>
      <c r="E9" s="263">
        <v>8633</v>
      </c>
      <c r="F9" s="263">
        <v>1117.06</v>
      </c>
      <c r="G9" s="347">
        <f t="shared" ref="G9:G23" si="2">E9+F9</f>
        <v>9750.06</v>
      </c>
      <c r="H9" s="344">
        <f t="shared" si="1"/>
        <v>0.82830843467660065</v>
      </c>
      <c r="I9" s="126"/>
      <c r="J9" s="127">
        <v>3</v>
      </c>
      <c r="K9" s="258">
        <f>AVERAGE($C$7:C9)</f>
        <v>552.33333333333337</v>
      </c>
      <c r="L9" s="262">
        <f t="shared" ref="L9:O18" si="3">L8+D9</f>
        <v>35234.320000000007</v>
      </c>
      <c r="M9" s="263">
        <f t="shared" si="3"/>
        <v>32374</v>
      </c>
      <c r="N9" s="263">
        <f t="shared" si="3"/>
        <v>3347.14</v>
      </c>
      <c r="O9" s="348">
        <f t="shared" si="3"/>
        <v>35721.14</v>
      </c>
      <c r="P9" s="346"/>
    </row>
    <row r="10" spans="1:18">
      <c r="A10" s="126"/>
      <c r="B10" s="168" t="s">
        <v>1221</v>
      </c>
      <c r="C10" s="257">
        <v>552</v>
      </c>
      <c r="D10" s="347">
        <v>11768.84</v>
      </c>
      <c r="E10" s="263">
        <v>10508</v>
      </c>
      <c r="F10" s="263">
        <v>1115.04</v>
      </c>
      <c r="G10" s="347">
        <f t="shared" si="2"/>
        <v>11623.04</v>
      </c>
      <c r="H10" s="344">
        <f t="shared" si="1"/>
        <v>0.98761135337042572</v>
      </c>
      <c r="I10" s="126"/>
      <c r="J10" s="127">
        <v>4</v>
      </c>
      <c r="K10" s="258">
        <f>AVERAGE($C$7:C10)</f>
        <v>552.25</v>
      </c>
      <c r="L10" s="262">
        <f t="shared" si="3"/>
        <v>47003.16</v>
      </c>
      <c r="M10" s="263">
        <f t="shared" si="3"/>
        <v>42882</v>
      </c>
      <c r="N10" s="263">
        <f t="shared" si="3"/>
        <v>4462.18</v>
      </c>
      <c r="O10" s="348">
        <f t="shared" si="3"/>
        <v>47344.18</v>
      </c>
      <c r="P10" s="346"/>
    </row>
    <row r="11" spans="1:18">
      <c r="A11" s="126"/>
      <c r="B11" s="168" t="s">
        <v>1222</v>
      </c>
      <c r="C11" s="257">
        <v>556</v>
      </c>
      <c r="D11" s="347">
        <v>11826.05</v>
      </c>
      <c r="E11" s="263">
        <v>10285.76</v>
      </c>
      <c r="F11" s="263">
        <v>1123.1200000000001</v>
      </c>
      <c r="G11" s="347">
        <f t="shared" si="2"/>
        <v>11408.880000000001</v>
      </c>
      <c r="H11" s="344">
        <f t="shared" si="1"/>
        <v>0.96472448535225219</v>
      </c>
      <c r="I11" s="126"/>
      <c r="J11" s="127">
        <v>5</v>
      </c>
      <c r="K11" s="258">
        <f>AVERAGE($C$7:C11)</f>
        <v>553</v>
      </c>
      <c r="L11" s="262">
        <f t="shared" si="3"/>
        <v>58829.210000000006</v>
      </c>
      <c r="M11" s="263">
        <f t="shared" si="3"/>
        <v>53167.76</v>
      </c>
      <c r="N11" s="263">
        <f t="shared" si="3"/>
        <v>5585.3</v>
      </c>
      <c r="O11" s="348">
        <f t="shared" si="3"/>
        <v>58753.06</v>
      </c>
      <c r="P11" s="346"/>
    </row>
    <row r="12" spans="1:18">
      <c r="A12" s="126"/>
      <c r="B12" s="155" t="s">
        <v>1223</v>
      </c>
      <c r="C12" s="257">
        <v>554</v>
      </c>
      <c r="D12" s="347">
        <v>11765.32</v>
      </c>
      <c r="E12" s="263">
        <v>8109</v>
      </c>
      <c r="F12" s="263">
        <v>1119.08</v>
      </c>
      <c r="G12" s="347">
        <f t="shared" si="2"/>
        <v>9228.08</v>
      </c>
      <c r="H12" s="344">
        <f t="shared" si="1"/>
        <v>0.78434585714625693</v>
      </c>
      <c r="I12" s="126"/>
      <c r="J12" s="127">
        <v>6</v>
      </c>
      <c r="K12" s="258">
        <f>AVERAGE($C$7:C12)</f>
        <v>553.16666666666663</v>
      </c>
      <c r="L12" s="262">
        <f t="shared" si="3"/>
        <v>70594.53</v>
      </c>
      <c r="M12" s="263">
        <f t="shared" si="3"/>
        <v>61276.76</v>
      </c>
      <c r="N12" s="263">
        <f t="shared" si="3"/>
        <v>6704.38</v>
      </c>
      <c r="O12" s="348">
        <f t="shared" si="3"/>
        <v>67981.14</v>
      </c>
      <c r="P12" s="346"/>
    </row>
    <row r="13" spans="1:18">
      <c r="A13" s="126"/>
      <c r="B13" s="168" t="s">
        <v>1224</v>
      </c>
      <c r="C13" s="257">
        <v>556</v>
      </c>
      <c r="D13" s="347">
        <v>11729.31</v>
      </c>
      <c r="E13" s="263">
        <v>8461</v>
      </c>
      <c r="F13" s="263">
        <v>1123.1200000000001</v>
      </c>
      <c r="G13" s="347">
        <f t="shared" si="2"/>
        <v>9584.1200000000008</v>
      </c>
      <c r="H13" s="344">
        <f t="shared" si="1"/>
        <v>0.81710859377064815</v>
      </c>
      <c r="I13" s="126"/>
      <c r="J13" s="127">
        <v>7</v>
      </c>
      <c r="K13" s="258">
        <f>AVERAGE($C$7:C13)</f>
        <v>553.57142857142856</v>
      </c>
      <c r="L13" s="262">
        <f t="shared" si="3"/>
        <v>82323.839999999997</v>
      </c>
      <c r="M13" s="263">
        <f t="shared" si="3"/>
        <v>69737.760000000009</v>
      </c>
      <c r="N13" s="263">
        <f t="shared" si="3"/>
        <v>7827.5</v>
      </c>
      <c r="O13" s="348">
        <f t="shared" si="3"/>
        <v>77565.259999999995</v>
      </c>
      <c r="P13" s="346"/>
    </row>
    <row r="14" spans="1:18">
      <c r="A14" s="126"/>
      <c r="B14" s="168" t="s">
        <v>1225</v>
      </c>
      <c r="C14" s="257">
        <v>567</v>
      </c>
      <c r="D14" s="347">
        <v>11872.36</v>
      </c>
      <c r="E14" s="263">
        <v>7433</v>
      </c>
      <c r="F14" s="263">
        <v>1145.3399999999999</v>
      </c>
      <c r="G14" s="347">
        <f t="shared" si="2"/>
        <v>8578.34</v>
      </c>
      <c r="H14" s="344">
        <f t="shared" si="1"/>
        <v>0.72254715995808749</v>
      </c>
      <c r="I14" s="126"/>
      <c r="J14" s="127">
        <v>8</v>
      </c>
      <c r="K14" s="258">
        <f>AVERAGE($C$7:C14)</f>
        <v>555.25</v>
      </c>
      <c r="L14" s="262">
        <f t="shared" si="3"/>
        <v>94196.2</v>
      </c>
      <c r="M14" s="263">
        <f t="shared" si="3"/>
        <v>77170.760000000009</v>
      </c>
      <c r="N14" s="263">
        <f t="shared" si="3"/>
        <v>8972.84</v>
      </c>
      <c r="O14" s="348">
        <f t="shared" si="3"/>
        <v>86143.599999999991</v>
      </c>
      <c r="P14" s="346"/>
    </row>
    <row r="15" spans="1:18">
      <c r="A15" s="126"/>
      <c r="B15" s="168" t="s">
        <v>1226</v>
      </c>
      <c r="C15" s="257">
        <v>575</v>
      </c>
      <c r="D15" s="173">
        <v>11969.259999999998</v>
      </c>
      <c r="E15" s="261">
        <v>10588</v>
      </c>
      <c r="F15" s="261">
        <v>1161.5</v>
      </c>
      <c r="G15" s="173">
        <f t="shared" si="2"/>
        <v>11749.5</v>
      </c>
      <c r="H15" s="344">
        <f t="shared" si="1"/>
        <v>0.98163963352788741</v>
      </c>
      <c r="I15" s="126"/>
      <c r="J15" s="127">
        <v>9</v>
      </c>
      <c r="K15" s="258">
        <f>AVERAGE($C$7:C15)</f>
        <v>557.44444444444446</v>
      </c>
      <c r="L15" s="262">
        <f t="shared" si="3"/>
        <v>106165.45999999999</v>
      </c>
      <c r="M15" s="263">
        <f t="shared" si="3"/>
        <v>87758.760000000009</v>
      </c>
      <c r="N15" s="263">
        <f t="shared" si="3"/>
        <v>10134.34</v>
      </c>
      <c r="O15" s="348">
        <f t="shared" si="3"/>
        <v>97893.099999999991</v>
      </c>
      <c r="P15" s="346"/>
    </row>
    <row r="16" spans="1:18">
      <c r="A16" s="126"/>
      <c r="B16" s="168" t="s">
        <v>1227</v>
      </c>
      <c r="C16" s="257">
        <v>577</v>
      </c>
      <c r="D16" s="173">
        <v>11978.76</v>
      </c>
      <c r="E16" s="261">
        <v>9265</v>
      </c>
      <c r="F16" s="261">
        <v>1165.54</v>
      </c>
      <c r="G16" s="173">
        <f t="shared" si="2"/>
        <v>10430.540000000001</v>
      </c>
      <c r="H16" s="344">
        <f t="shared" si="1"/>
        <v>0.87075289929842492</v>
      </c>
      <c r="I16" s="126"/>
      <c r="J16" s="127">
        <v>10</v>
      </c>
      <c r="K16" s="258">
        <f>AVERAGE($C$7:C16)</f>
        <v>559.4</v>
      </c>
      <c r="L16" s="262">
        <f t="shared" si="3"/>
        <v>118144.21999999999</v>
      </c>
      <c r="M16" s="263">
        <f t="shared" si="3"/>
        <v>97023.760000000009</v>
      </c>
      <c r="N16" s="263">
        <f t="shared" si="3"/>
        <v>11299.880000000001</v>
      </c>
      <c r="O16" s="348">
        <f t="shared" si="3"/>
        <v>108323.63999999998</v>
      </c>
      <c r="P16" s="346"/>
    </row>
    <row r="17" spans="1:25">
      <c r="A17" s="126"/>
      <c r="B17" s="168" t="s">
        <v>1228</v>
      </c>
      <c r="C17" s="257">
        <v>578</v>
      </c>
      <c r="D17" s="173">
        <v>12012.46</v>
      </c>
      <c r="E17" s="261">
        <v>9006</v>
      </c>
      <c r="F17" s="261">
        <v>1167.56</v>
      </c>
      <c r="G17" s="173">
        <f t="shared" si="2"/>
        <v>10173.56</v>
      </c>
      <c r="H17" s="344">
        <f t="shared" si="1"/>
        <v>0.84691728421988499</v>
      </c>
      <c r="I17" s="126"/>
      <c r="J17" s="127">
        <v>11</v>
      </c>
      <c r="K17" s="258">
        <f>AVERAGE($C$7:C17)</f>
        <v>561.09090909090912</v>
      </c>
      <c r="L17" s="262">
        <f t="shared" si="3"/>
        <v>130156.68</v>
      </c>
      <c r="M17" s="263">
        <f t="shared" si="3"/>
        <v>106029.76000000001</v>
      </c>
      <c r="N17" s="263">
        <f t="shared" si="3"/>
        <v>12467.44</v>
      </c>
      <c r="O17" s="348">
        <f t="shared" si="3"/>
        <v>118497.19999999998</v>
      </c>
      <c r="P17" s="346"/>
    </row>
    <row r="18" spans="1:25" ht="13.5" thickBot="1">
      <c r="A18" s="126"/>
      <c r="B18" s="168" t="s">
        <v>1229</v>
      </c>
      <c r="C18" s="264">
        <v>581</v>
      </c>
      <c r="D18" s="181">
        <v>12050.76</v>
      </c>
      <c r="E18" s="265">
        <v>11256</v>
      </c>
      <c r="F18" s="265">
        <v>1173.6200000000001</v>
      </c>
      <c r="G18" s="181">
        <f t="shared" si="2"/>
        <v>12429.62</v>
      </c>
      <c r="H18" s="349">
        <f t="shared" si="1"/>
        <v>1.0314386810458429</v>
      </c>
      <c r="I18" s="126"/>
      <c r="J18" s="127">
        <v>12</v>
      </c>
      <c r="K18" s="350">
        <f>AVERAGE($C$7:C18)</f>
        <v>562.75</v>
      </c>
      <c r="L18" s="266">
        <f t="shared" si="3"/>
        <v>142207.44</v>
      </c>
      <c r="M18" s="267">
        <f t="shared" si="3"/>
        <v>117285.76000000001</v>
      </c>
      <c r="N18" s="267">
        <f t="shared" si="3"/>
        <v>13641.060000000001</v>
      </c>
      <c r="O18" s="351">
        <f t="shared" si="3"/>
        <v>130926.81999999998</v>
      </c>
      <c r="P18" s="346"/>
    </row>
    <row r="19" spans="1:25" ht="12.75" customHeight="1" thickTop="1" thickBot="1">
      <c r="A19" s="126"/>
      <c r="B19" s="321" t="s">
        <v>1230</v>
      </c>
      <c r="C19" s="257">
        <f t="shared" ref="C19:D23" si="4">O21</f>
        <v>602</v>
      </c>
      <c r="D19" s="173">
        <f t="shared" si="4"/>
        <v>12774.16</v>
      </c>
      <c r="E19" s="261">
        <v>13410</v>
      </c>
      <c r="F19" s="261">
        <f>Q21</f>
        <v>1661.52</v>
      </c>
      <c r="G19" s="173">
        <f t="shared" si="2"/>
        <v>15071.52</v>
      </c>
      <c r="H19" s="344">
        <f t="shared" si="1"/>
        <v>1.1798443107022303</v>
      </c>
      <c r="I19" s="126"/>
      <c r="J19" s="127"/>
      <c r="K19" s="203"/>
      <c r="L19" s="203"/>
      <c r="M19" s="203"/>
      <c r="N19" s="203"/>
      <c r="O19" s="203"/>
      <c r="P19" s="192"/>
    </row>
    <row r="20" spans="1:25" ht="12.75" customHeight="1" thickBot="1">
      <c r="A20" s="126"/>
      <c r="B20" s="168" t="s">
        <v>1219</v>
      </c>
      <c r="C20" s="257">
        <f t="shared" si="4"/>
        <v>602</v>
      </c>
      <c r="D20" s="173">
        <f t="shared" si="4"/>
        <v>12746.79</v>
      </c>
      <c r="E20" s="261">
        <v>10908</v>
      </c>
      <c r="F20" s="261">
        <f>Q22</f>
        <v>1661.52</v>
      </c>
      <c r="G20" s="173">
        <f t="shared" si="2"/>
        <v>12569.52</v>
      </c>
      <c r="H20" s="344">
        <f t="shared" si="1"/>
        <v>0.98609296928873857</v>
      </c>
      <c r="I20" s="126"/>
      <c r="J20" s="659"/>
      <c r="K20" s="660"/>
      <c r="L20" s="661"/>
      <c r="M20" s="661"/>
      <c r="N20" s="662"/>
      <c r="O20" s="663" t="s">
        <v>88</v>
      </c>
      <c r="P20" s="664" t="s">
        <v>90</v>
      </c>
      <c r="Q20" s="664" t="s">
        <v>1267</v>
      </c>
    </row>
    <row r="21" spans="1:25" ht="12.75" customHeight="1">
      <c r="A21" s="126"/>
      <c r="B21" s="168" t="s">
        <v>1220</v>
      </c>
      <c r="C21" s="257">
        <f t="shared" si="4"/>
        <v>601</v>
      </c>
      <c r="D21" s="173">
        <f t="shared" si="4"/>
        <v>12664.32</v>
      </c>
      <c r="E21" s="261">
        <v>11216</v>
      </c>
      <c r="F21" s="261">
        <f>Q23</f>
        <v>1658.7599999999998</v>
      </c>
      <c r="G21" s="173">
        <f t="shared" si="2"/>
        <v>12874.76</v>
      </c>
      <c r="H21" s="344">
        <f t="shared" si="1"/>
        <v>1.0166167626844553</v>
      </c>
      <c r="I21" s="126"/>
      <c r="J21" s="665" t="str">
        <f>B19</f>
        <v>Jan-24</v>
      </c>
      <c r="K21" s="666">
        <v>180</v>
      </c>
      <c r="L21" s="667">
        <v>128</v>
      </c>
      <c r="M21" s="667">
        <v>54</v>
      </c>
      <c r="N21" s="668">
        <v>240</v>
      </c>
      <c r="O21" s="669">
        <f>SUM(K21:N21)</f>
        <v>602</v>
      </c>
      <c r="P21" s="670">
        <f>(K21*$K$33)+(L21*$L$33)+(M21*$M$33)+(N21*$N$33)</f>
        <v>12774.16</v>
      </c>
      <c r="Q21" s="670">
        <f>O21*$K$34</f>
        <v>1661.52</v>
      </c>
    </row>
    <row r="22" spans="1:25" ht="12.75" customHeight="1">
      <c r="A22" s="126"/>
      <c r="B22" s="168" t="s">
        <v>1221</v>
      </c>
      <c r="C22" s="257">
        <f t="shared" si="4"/>
        <v>596</v>
      </c>
      <c r="D22" s="173">
        <f t="shared" si="4"/>
        <v>12543.49</v>
      </c>
      <c r="E22" s="261">
        <v>13974</v>
      </c>
      <c r="F22" s="261">
        <f>Q24</f>
        <v>1644.9599999999998</v>
      </c>
      <c r="G22" s="173">
        <f t="shared" si="2"/>
        <v>15618.96</v>
      </c>
      <c r="H22" s="344">
        <f t="shared" si="1"/>
        <v>1.2451845539000708</v>
      </c>
      <c r="I22" s="126"/>
      <c r="J22" s="671" t="str">
        <f t="shared" ref="J22:J32" si="5">B20</f>
        <v>Feb</v>
      </c>
      <c r="K22" s="672">
        <v>182</v>
      </c>
      <c r="L22" s="673">
        <v>128</v>
      </c>
      <c r="M22" s="673">
        <v>53</v>
      </c>
      <c r="N22" s="674">
        <v>239</v>
      </c>
      <c r="O22" s="675">
        <f t="shared" ref="O22:O31" si="6">SUM(K22:N22)</f>
        <v>602</v>
      </c>
      <c r="P22" s="676">
        <f t="shared" ref="P22:P32" si="7">(K22*$K$33)+(L22*$L$33)+(M22*$M$33)+(N22*$N$33)</f>
        <v>12746.79</v>
      </c>
      <c r="Q22" s="676">
        <f t="shared" ref="Q22:Q32" si="8">O22*$K$34</f>
        <v>1661.52</v>
      </c>
    </row>
    <row r="23" spans="1:25" ht="12.75" customHeight="1">
      <c r="A23" s="126"/>
      <c r="B23" s="168" t="s">
        <v>1222</v>
      </c>
      <c r="C23" s="257">
        <f t="shared" si="4"/>
        <v>598</v>
      </c>
      <c r="D23" s="173">
        <f t="shared" si="4"/>
        <v>12561.33</v>
      </c>
      <c r="E23" s="263">
        <v>8082</v>
      </c>
      <c r="F23" s="261">
        <f>Q25</f>
        <v>1650.4799999999998</v>
      </c>
      <c r="G23" s="173">
        <f t="shared" si="2"/>
        <v>9732.48</v>
      </c>
      <c r="H23" s="344">
        <f t="shared" si="1"/>
        <v>0.77479693631168034</v>
      </c>
      <c r="I23" s="126">
        <f>D23/C23</f>
        <v>21.005568561872909</v>
      </c>
      <c r="J23" s="671" t="str">
        <f t="shared" si="5"/>
        <v>Mar</v>
      </c>
      <c r="K23" s="672">
        <v>185</v>
      </c>
      <c r="L23" s="673">
        <v>126</v>
      </c>
      <c r="M23" s="673">
        <v>54</v>
      </c>
      <c r="N23" s="674">
        <v>236</v>
      </c>
      <c r="O23" s="675">
        <f t="shared" si="6"/>
        <v>601</v>
      </c>
      <c r="P23" s="676">
        <f t="shared" si="7"/>
        <v>12664.32</v>
      </c>
      <c r="Q23" s="676">
        <f t="shared" si="8"/>
        <v>1658.7599999999998</v>
      </c>
    </row>
    <row r="24" spans="1:25" ht="12.75" customHeight="1">
      <c r="A24" s="126"/>
      <c r="B24" s="155" t="s">
        <v>1223</v>
      </c>
      <c r="C24" s="257"/>
      <c r="D24" s="173"/>
      <c r="E24" s="263"/>
      <c r="F24" s="261"/>
      <c r="G24" s="173"/>
      <c r="H24" s="344"/>
      <c r="I24" s="126"/>
      <c r="J24" s="671" t="str">
        <f t="shared" si="5"/>
        <v>Apr</v>
      </c>
      <c r="K24" s="672">
        <v>188</v>
      </c>
      <c r="L24" s="673">
        <v>121</v>
      </c>
      <c r="M24" s="673">
        <v>50</v>
      </c>
      <c r="N24" s="674">
        <v>237</v>
      </c>
      <c r="O24" s="675">
        <f t="shared" si="6"/>
        <v>596</v>
      </c>
      <c r="P24" s="676">
        <f t="shared" si="7"/>
        <v>12543.49</v>
      </c>
      <c r="Q24" s="676">
        <f t="shared" si="8"/>
        <v>1644.9599999999998</v>
      </c>
    </row>
    <row r="25" spans="1:25" ht="12.75" customHeight="1">
      <c r="A25" s="126"/>
      <c r="B25" s="168" t="s">
        <v>1224</v>
      </c>
      <c r="C25" s="257"/>
      <c r="D25" s="173"/>
      <c r="E25" s="263"/>
      <c r="F25" s="261"/>
      <c r="G25" s="173"/>
      <c r="H25" s="344"/>
      <c r="I25" s="126"/>
      <c r="J25" s="671" t="str">
        <f t="shared" si="5"/>
        <v>May</v>
      </c>
      <c r="K25" s="672">
        <v>190</v>
      </c>
      <c r="L25" s="673">
        <v>120</v>
      </c>
      <c r="M25" s="673">
        <v>51</v>
      </c>
      <c r="N25" s="674">
        <v>237</v>
      </c>
      <c r="O25" s="675">
        <f t="shared" si="6"/>
        <v>598</v>
      </c>
      <c r="P25" s="676">
        <f t="shared" si="7"/>
        <v>12561.33</v>
      </c>
      <c r="Q25" s="676">
        <f t="shared" si="8"/>
        <v>1650.4799999999998</v>
      </c>
    </row>
    <row r="26" spans="1:25" ht="12.75" customHeight="1">
      <c r="A26" s="126"/>
      <c r="B26" s="168" t="s">
        <v>1225</v>
      </c>
      <c r="C26" s="257"/>
      <c r="D26" s="173"/>
      <c r="E26" s="263"/>
      <c r="F26" s="261"/>
      <c r="G26" s="173"/>
      <c r="H26" s="344"/>
      <c r="I26" s="126"/>
      <c r="J26" s="677" t="str">
        <f t="shared" si="5"/>
        <v>Jun</v>
      </c>
      <c r="K26" s="672"/>
      <c r="L26" s="673"/>
      <c r="M26" s="673"/>
      <c r="N26" s="674"/>
      <c r="O26" s="675">
        <f>SUM(K26:N26)</f>
        <v>0</v>
      </c>
      <c r="P26" s="676">
        <f t="shared" si="7"/>
        <v>0</v>
      </c>
      <c r="Q26" s="676">
        <f t="shared" si="8"/>
        <v>0</v>
      </c>
    </row>
    <row r="27" spans="1:25" ht="12.75" customHeight="1">
      <c r="A27" s="126"/>
      <c r="B27" s="168" t="s">
        <v>1226</v>
      </c>
      <c r="C27" s="257"/>
      <c r="D27" s="173"/>
      <c r="E27" s="263"/>
      <c r="F27" s="261"/>
      <c r="G27" s="173"/>
      <c r="H27" s="344"/>
      <c r="I27" s="126"/>
      <c r="J27" s="671" t="str">
        <f t="shared" si="5"/>
        <v>Jul</v>
      </c>
      <c r="K27" s="672"/>
      <c r="L27" s="673"/>
      <c r="M27" s="673"/>
      <c r="N27" s="674"/>
      <c r="O27" s="675">
        <f t="shared" si="6"/>
        <v>0</v>
      </c>
      <c r="P27" s="676">
        <f t="shared" si="7"/>
        <v>0</v>
      </c>
      <c r="Q27" s="676">
        <f t="shared" si="8"/>
        <v>0</v>
      </c>
    </row>
    <row r="28" spans="1:25" ht="12.75" customHeight="1">
      <c r="A28" s="126"/>
      <c r="B28" s="168" t="s">
        <v>1227</v>
      </c>
      <c r="C28" s="257"/>
      <c r="D28" s="173"/>
      <c r="E28" s="263"/>
      <c r="F28" s="261"/>
      <c r="G28" s="173"/>
      <c r="H28" s="344"/>
      <c r="I28" s="126"/>
      <c r="J28" s="671" t="str">
        <f t="shared" si="5"/>
        <v>Aug</v>
      </c>
      <c r="K28" s="672"/>
      <c r="L28" s="673"/>
      <c r="M28" s="673"/>
      <c r="N28" s="674"/>
      <c r="O28" s="675">
        <f t="shared" si="6"/>
        <v>0</v>
      </c>
      <c r="P28" s="676">
        <f t="shared" si="7"/>
        <v>0</v>
      </c>
      <c r="Q28" s="676">
        <f t="shared" si="8"/>
        <v>0</v>
      </c>
    </row>
    <row r="29" spans="1:25" ht="12.75" customHeight="1">
      <c r="A29" s="126"/>
      <c r="B29" s="168" t="s">
        <v>1228</v>
      </c>
      <c r="C29" s="257"/>
      <c r="D29" s="173"/>
      <c r="E29" s="263"/>
      <c r="F29" s="261"/>
      <c r="G29" s="173"/>
      <c r="H29" s="344"/>
      <c r="I29" s="126"/>
      <c r="J29" s="671" t="str">
        <f t="shared" si="5"/>
        <v>Sep</v>
      </c>
      <c r="K29" s="672"/>
      <c r="L29" s="673"/>
      <c r="M29" s="673"/>
      <c r="N29" s="674"/>
      <c r="O29" s="675">
        <f t="shared" si="6"/>
        <v>0</v>
      </c>
      <c r="P29" s="676">
        <f t="shared" si="7"/>
        <v>0</v>
      </c>
      <c r="Q29" s="676">
        <f t="shared" si="8"/>
        <v>0</v>
      </c>
    </row>
    <row r="30" spans="1:25" ht="12.75" customHeight="1" thickBot="1">
      <c r="A30" s="126"/>
      <c r="B30" s="198" t="s">
        <v>1229</v>
      </c>
      <c r="C30" s="268"/>
      <c r="D30" s="201"/>
      <c r="E30" s="267"/>
      <c r="F30" s="270"/>
      <c r="G30" s="201"/>
      <c r="H30" s="352"/>
      <c r="I30" s="126"/>
      <c r="J30" s="671" t="str">
        <f t="shared" si="5"/>
        <v>Oct</v>
      </c>
      <c r="K30" s="672"/>
      <c r="L30" s="673"/>
      <c r="M30" s="673"/>
      <c r="N30" s="674"/>
      <c r="O30" s="675">
        <f t="shared" si="6"/>
        <v>0</v>
      </c>
      <c r="P30" s="676">
        <f t="shared" si="7"/>
        <v>0</v>
      </c>
      <c r="Q30" s="676">
        <f t="shared" si="8"/>
        <v>0</v>
      </c>
    </row>
    <row r="31" spans="1:25" ht="14.65" customHeight="1">
      <c r="A31" s="202"/>
      <c r="B31" s="203"/>
      <c r="C31" s="204"/>
      <c r="D31" s="204"/>
      <c r="E31" s="204"/>
      <c r="F31" s="204"/>
      <c r="G31" s="204"/>
      <c r="H31" s="204"/>
      <c r="I31" s="191"/>
      <c r="J31" s="671" t="str">
        <f t="shared" si="5"/>
        <v>Nov</v>
      </c>
      <c r="K31" s="672"/>
      <c r="L31" s="673"/>
      <c r="M31" s="673"/>
      <c r="N31" s="674"/>
      <c r="O31" s="675">
        <f t="shared" si="6"/>
        <v>0</v>
      </c>
      <c r="P31" s="676">
        <f t="shared" si="7"/>
        <v>0</v>
      </c>
      <c r="Q31" s="676">
        <f t="shared" si="8"/>
        <v>0</v>
      </c>
      <c r="R31" s="136"/>
      <c r="S31" s="195"/>
      <c r="T31" s="195"/>
      <c r="U31" s="196"/>
      <c r="V31" s="195"/>
      <c r="W31" s="195"/>
      <c r="X31" s="195"/>
      <c r="Y31" s="197"/>
    </row>
    <row r="32" spans="1:25" ht="12" customHeight="1" thickBot="1">
      <c r="A32" s="206"/>
      <c r="B32" s="207"/>
      <c r="C32" s="353"/>
      <c r="D32" s="353"/>
      <c r="E32" s="353"/>
      <c r="F32" s="353"/>
      <c r="G32" s="353"/>
      <c r="H32" s="353"/>
      <c r="I32" s="353"/>
      <c r="J32" s="678" t="str">
        <f t="shared" si="5"/>
        <v>Dec</v>
      </c>
      <c r="K32" s="679"/>
      <c r="L32" s="680"/>
      <c r="M32" s="680"/>
      <c r="N32" s="681"/>
      <c r="O32" s="682">
        <f>SUM(K32:N32)</f>
        <v>0</v>
      </c>
      <c r="P32" s="676">
        <f t="shared" si="7"/>
        <v>0</v>
      </c>
      <c r="Q32" s="683">
        <f t="shared" si="8"/>
        <v>0</v>
      </c>
      <c r="R32" s="210"/>
      <c r="S32" s="210"/>
      <c r="T32" s="210"/>
      <c r="U32" s="210"/>
      <c r="V32" s="210"/>
      <c r="W32" s="210"/>
      <c r="X32" s="210"/>
      <c r="Y32" s="192"/>
    </row>
    <row r="33" spans="1:25" ht="13.15" customHeight="1" thickBot="1">
      <c r="A33" s="226"/>
      <c r="B33" s="211" t="s">
        <v>1231</v>
      </c>
      <c r="C33" s="354">
        <f>AVERAGE(C19:C30)</f>
        <v>599.79999999999995</v>
      </c>
      <c r="D33" s="212">
        <f>SUM(D19:D30)</f>
        <v>63290.090000000004</v>
      </c>
      <c r="E33" s="355">
        <f>SUM(E19:E30)</f>
        <v>57590</v>
      </c>
      <c r="F33" s="355">
        <f>SUM(F19:F30)</f>
        <v>8277.24</v>
      </c>
      <c r="G33" s="212">
        <f>SUM(G19:G30)</f>
        <v>65867.240000000005</v>
      </c>
      <c r="H33" s="356">
        <f>G33/D33</f>
        <v>1.0407196450502756</v>
      </c>
      <c r="I33" s="353"/>
      <c r="J33" s="684" t="s">
        <v>1260</v>
      </c>
      <c r="K33" s="685">
        <v>10.44</v>
      </c>
      <c r="L33" s="686">
        <v>21.56</v>
      </c>
      <c r="M33" s="686">
        <v>18.52</v>
      </c>
      <c r="N33" s="687">
        <v>29.73</v>
      </c>
      <c r="O33" s="282"/>
      <c r="P33" s="282"/>
      <c r="Q33" s="282"/>
      <c r="R33" s="210"/>
      <c r="S33" s="210"/>
      <c r="T33" s="210"/>
      <c r="U33" s="210"/>
      <c r="V33" s="210"/>
      <c r="W33" s="210"/>
      <c r="X33" s="210"/>
      <c r="Y33" s="192"/>
    </row>
    <row r="34" spans="1:25" ht="13.15" customHeight="1" thickBot="1">
      <c r="A34" s="226"/>
      <c r="B34" s="214" t="s">
        <v>1232</v>
      </c>
      <c r="C34" s="357">
        <f>((LOOKUP($K$2,$J$7:$J$18,K7:K18)))</f>
        <v>553</v>
      </c>
      <c r="D34" s="272">
        <f>((LOOKUP($K$2,$J$7:$J$18,L7:L18)))</f>
        <v>58829.210000000006</v>
      </c>
      <c r="E34" s="273">
        <f>((LOOKUP($K$2,$J$7:$J$18,M7:M18)))</f>
        <v>53167.76</v>
      </c>
      <c r="F34" s="273">
        <f>((LOOKUP($K$2,$J$7:$J$18,N7:N18)))</f>
        <v>5585.3</v>
      </c>
      <c r="G34" s="272">
        <f>((LOOKUP($K$2,$J$7:$J$18,O7:O18)))</f>
        <v>58753.06</v>
      </c>
      <c r="H34" s="358">
        <f>G34/D34</f>
        <v>0.9987055750026218</v>
      </c>
      <c r="I34" s="359"/>
      <c r="J34" s="688" t="s">
        <v>1267</v>
      </c>
      <c r="K34" s="685">
        <v>2.76</v>
      </c>
      <c r="L34" s="686"/>
      <c r="M34" s="686"/>
      <c r="N34" s="687"/>
      <c r="O34" s="282"/>
      <c r="P34" s="282"/>
      <c r="Q34" s="282"/>
      <c r="R34" s="210"/>
      <c r="S34" s="210"/>
      <c r="T34" s="210"/>
      <c r="U34" s="210"/>
      <c r="V34" s="210"/>
      <c r="W34" s="210"/>
      <c r="X34" s="210"/>
      <c r="Y34" s="192"/>
    </row>
    <row r="35" spans="1:25" ht="13.15" customHeight="1" thickBot="1">
      <c r="A35" s="226"/>
      <c r="B35" s="217" t="s">
        <v>1233</v>
      </c>
      <c r="C35" s="218">
        <f t="shared" ref="C35:H35" si="9">(C33/C34)-1</f>
        <v>8.4629294755876883E-2</v>
      </c>
      <c r="D35" s="219">
        <f t="shared" si="9"/>
        <v>7.5827637325063479E-2</v>
      </c>
      <c r="E35" s="218">
        <f t="shared" si="9"/>
        <v>8.3175217462612583E-2</v>
      </c>
      <c r="F35" s="218">
        <f t="shared" si="9"/>
        <v>0.48196873936941609</v>
      </c>
      <c r="G35" s="219">
        <f t="shared" si="9"/>
        <v>0.12108611874853858</v>
      </c>
      <c r="H35" s="360">
        <f t="shared" si="9"/>
        <v>4.206852459749566E-2</v>
      </c>
      <c r="I35" s="361"/>
      <c r="J35" s="379"/>
      <c r="K35" s="379"/>
      <c r="L35" s="379"/>
      <c r="N35" s="193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192"/>
    </row>
    <row r="36" spans="1:25" ht="13.15" customHeight="1">
      <c r="A36" s="202"/>
      <c r="B36" s="202"/>
      <c r="C36" s="207" t="s">
        <v>1234</v>
      </c>
      <c r="D36" s="204"/>
      <c r="E36" s="204"/>
      <c r="F36" s="204"/>
      <c r="G36" s="191"/>
      <c r="H36" s="191"/>
      <c r="I36" s="191"/>
      <c r="J36" s="194"/>
      <c r="K36" s="194"/>
      <c r="L36" s="194"/>
      <c r="N36" s="193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192"/>
    </row>
    <row r="37" spans="1:25" ht="13.15" customHeight="1" thickBot="1">
      <c r="A37" s="206"/>
      <c r="B37" s="206"/>
      <c r="C37" s="204"/>
      <c r="D37" s="204"/>
      <c r="E37" s="204"/>
      <c r="F37" s="204"/>
      <c r="G37" s="191"/>
      <c r="H37" s="191"/>
      <c r="I37" s="191"/>
      <c r="J37" s="194"/>
      <c r="K37" s="194"/>
      <c r="L37" s="194"/>
      <c r="N37" s="193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192"/>
    </row>
    <row r="38" spans="1:25" ht="13.15" customHeight="1" thickBot="1">
      <c r="A38" s="226"/>
      <c r="B38" s="222" t="s">
        <v>1235</v>
      </c>
      <c r="C38" s="362">
        <f>AVERAGE(C7:C18)</f>
        <v>562.75</v>
      </c>
      <c r="D38" s="223">
        <f>SUM(D7:D18)</f>
        <v>142207.44</v>
      </c>
      <c r="E38" s="363">
        <f>SUM(E7:E18)</f>
        <v>117285.76000000001</v>
      </c>
      <c r="F38" s="363">
        <f>SUM(F7:F18)</f>
        <v>13641.060000000001</v>
      </c>
      <c r="G38" s="223">
        <f>SUM(G7:G18)</f>
        <v>130926.81999999998</v>
      </c>
      <c r="H38" s="364">
        <f>G38/D38</f>
        <v>0.92067489577197914</v>
      </c>
      <c r="I38" s="353"/>
      <c r="J38" s="378"/>
      <c r="K38" s="378"/>
      <c r="L38" s="379"/>
      <c r="N38" s="193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192"/>
    </row>
    <row r="39" spans="1:25" ht="13.15" customHeight="1">
      <c r="A39" s="226"/>
      <c r="B39" s="365"/>
      <c r="C39" s="207" t="s">
        <v>1234</v>
      </c>
      <c r="D39" s="353"/>
      <c r="E39" s="353"/>
      <c r="F39" s="353"/>
      <c r="G39" s="353"/>
      <c r="H39" s="353"/>
      <c r="I39" s="353"/>
      <c r="J39" s="378"/>
      <c r="K39" s="378"/>
      <c r="L39" s="379"/>
      <c r="N39" s="193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192"/>
    </row>
    <row r="40" spans="1:25" ht="13.15" customHeight="1">
      <c r="A40" s="226"/>
      <c r="B40" s="365"/>
      <c r="C40" s="353"/>
      <c r="D40" s="353"/>
      <c r="E40" s="353"/>
      <c r="F40" s="353"/>
      <c r="G40" s="353"/>
      <c r="H40" s="353"/>
      <c r="I40" s="353"/>
      <c r="J40" s="378"/>
      <c r="K40" s="378"/>
      <c r="L40" s="379"/>
      <c r="N40" s="193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192"/>
    </row>
    <row r="41" spans="1:25" ht="13.15" customHeight="1" thickBot="1">
      <c r="A41" s="227"/>
      <c r="B41" s="227" t="s">
        <v>1236</v>
      </c>
      <c r="C41" s="353"/>
      <c r="D41" s="353"/>
      <c r="E41" s="353"/>
      <c r="F41" s="353"/>
      <c r="G41" s="353"/>
      <c r="H41" s="353"/>
      <c r="I41" s="353"/>
      <c r="J41" s="378"/>
      <c r="K41" s="378"/>
      <c r="L41" s="379"/>
      <c r="N41" s="193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192"/>
    </row>
    <row r="42" spans="1:25" s="231" customFormat="1" ht="13.15" customHeight="1">
      <c r="A42" s="226"/>
      <c r="B42" s="366" t="s">
        <v>1237</v>
      </c>
      <c r="C42" s="367">
        <f ca="1">AVERAGE(OFFSET(C7,COUNT(C8:C30),0,-3))</f>
        <v>598.33333333333337</v>
      </c>
      <c r="D42" s="274">
        <f ca="1">SUM(OFFSET(D7,COUNT(D8:D30),0,-3))</f>
        <v>37769.14</v>
      </c>
      <c r="E42" s="230">
        <f ca="1">SUM(OFFSET(E7,COUNT(E8:E30),0,-3))</f>
        <v>33272</v>
      </c>
      <c r="F42" s="230">
        <f ca="1">SUM(OFFSET(F7,COUNT(F8:F30),0,-3))</f>
        <v>4954.1999999999989</v>
      </c>
      <c r="G42" s="274">
        <f ca="1">SUM(OFFSET(G7,COUNT(G8:G30),0,-3))</f>
        <v>38226.199999999997</v>
      </c>
      <c r="H42" s="368">
        <f ca="1">G42/D42</f>
        <v>1.0121014140115447</v>
      </c>
      <c r="I42" s="359"/>
      <c r="J42" s="382"/>
      <c r="K42" s="385"/>
      <c r="L42" s="379"/>
      <c r="N42" s="193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192"/>
    </row>
    <row r="43" spans="1:25" ht="13.15" customHeight="1">
      <c r="A43" s="226"/>
      <c r="B43" s="369" t="s">
        <v>1238</v>
      </c>
      <c r="C43" s="370">
        <f ca="1">AVERAGE(OFFSET(C7,COUNT(C8:C30),0,-6))</f>
        <v>596.66666666666663</v>
      </c>
      <c r="D43" s="371">
        <f ca="1">SUM(OFFSET(D7,COUNT(D8:D30),0,-6))</f>
        <v>75340.849999999991</v>
      </c>
      <c r="E43" s="235">
        <f ca="1">SUM(OFFSET(E7,COUNT(E8:E30),0,-6))</f>
        <v>68846</v>
      </c>
      <c r="F43" s="236">
        <f ca="1">SUM(OFFSET(F7,COUNT(F8:F30),0,-6))</f>
        <v>9450.86</v>
      </c>
      <c r="G43" s="233">
        <f ca="1">SUM(OFFSET(G7,COUNT(G8:G30),0,-6))</f>
        <v>78296.86</v>
      </c>
      <c r="H43" s="358">
        <f ca="1">G43/D43</f>
        <v>1.0392351559612085</v>
      </c>
      <c r="I43" s="237"/>
      <c r="J43" s="385"/>
      <c r="K43" s="385"/>
      <c r="L43" s="379"/>
      <c r="N43" s="193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192"/>
    </row>
    <row r="44" spans="1:25" ht="13.15" customHeight="1" thickBot="1">
      <c r="A44" s="226"/>
      <c r="B44" s="372" t="s">
        <v>1239</v>
      </c>
      <c r="C44" s="373">
        <f ca="1">AVERAGE(OFFSET(C7,COUNT(C8:C30),0,-12))</f>
        <v>582.25</v>
      </c>
      <c r="D44" s="374">
        <f ca="1">SUM(OFFSET(D7,COUNT(D8:D30),0,-12))</f>
        <v>146668.31999999998</v>
      </c>
      <c r="E44" s="242">
        <f ca="1">SUM(OFFSET(E7,COUNT(E8:E30),0,-12))</f>
        <v>121708</v>
      </c>
      <c r="F44" s="243">
        <f ca="1">SUM(OFFSET(F7,COUNT(F8:F30),0,-12))</f>
        <v>16332.999999999998</v>
      </c>
      <c r="G44" s="240">
        <f ca="1">SUM(OFFSET(G7,COUNT(G8:G30),0,-12))</f>
        <v>138041</v>
      </c>
      <c r="H44" s="375">
        <f ca="1">G44/D44</f>
        <v>0.94117802672042616</v>
      </c>
      <c r="I44" s="237"/>
      <c r="J44" s="385"/>
      <c r="K44" s="385"/>
      <c r="L44" s="379"/>
      <c r="N44" s="193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192"/>
    </row>
    <row r="45" spans="1:25" ht="13.5" customHeight="1">
      <c r="A45" s="202"/>
      <c r="B45" s="365"/>
      <c r="C45" s="207" t="s">
        <v>1234</v>
      </c>
      <c r="D45" s="244"/>
      <c r="E45" s="204"/>
      <c r="F45" s="204"/>
      <c r="G45" s="191"/>
      <c r="H45" s="191"/>
      <c r="I45" s="191"/>
      <c r="J45" s="194"/>
      <c r="K45" s="194"/>
      <c r="L45" s="194"/>
      <c r="N45" s="193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192"/>
    </row>
    <row r="46" spans="1:25" s="247" customFormat="1" ht="13.5" customHeight="1">
      <c r="A46" s="126"/>
      <c r="B46" s="275"/>
      <c r="C46" s="260"/>
      <c r="D46" s="260"/>
      <c r="E46" s="260"/>
      <c r="F46" s="137"/>
      <c r="G46" s="137"/>
      <c r="H46" s="137"/>
      <c r="I46" s="126"/>
      <c r="J46" s="193"/>
      <c r="K46" s="193"/>
      <c r="L46" s="193"/>
      <c r="M46" s="125"/>
      <c r="N46" s="125"/>
      <c r="O46" s="125"/>
      <c r="P46" s="125"/>
      <c r="Q46" s="195"/>
      <c r="R46" s="195"/>
      <c r="S46" s="125"/>
      <c r="T46" s="125"/>
      <c r="U46" s="125"/>
      <c r="V46" s="125"/>
      <c r="W46" s="125"/>
      <c r="X46" s="125"/>
      <c r="Y46" s="125"/>
    </row>
  </sheetData>
  <mergeCells count="3">
    <mergeCell ref="A1:I1"/>
    <mergeCell ref="A2:I2"/>
    <mergeCell ref="A3:I3"/>
  </mergeCells>
  <printOptions horizontalCentered="1"/>
  <pageMargins left="0.25" right="0.25" top="0.5" bottom="0.25" header="0.5" footer="0.15"/>
  <pageSetup scale="79" orientation="landscape" r:id="rId1"/>
  <headerFooter scaleWithDoc="0" alignWithMargins="0">
    <oddFooter>&amp;LAlera Group&amp;C
&amp;"Times New Roman,Regular"
&amp;R&amp;"Times New Roman,Regular"                &amp;"Arial,Regular"          Page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5D9B9-D1ED-41CB-85AC-86C3732DC882}">
  <sheetPr>
    <pageSetUpPr fitToPage="1"/>
  </sheetPr>
  <dimension ref="A1:Y53"/>
  <sheetViews>
    <sheetView showGridLines="0" view="pageBreakPreview" zoomScale="85" zoomScaleNormal="80" zoomScaleSheetLayoutView="85" workbookViewId="0">
      <selection sqref="A1:L1"/>
    </sheetView>
  </sheetViews>
  <sheetFormatPr defaultColWidth="9.33203125" defaultRowHeight="12.75"/>
  <cols>
    <col min="1" max="1" width="23.6640625" style="125" customWidth="1"/>
    <col min="2" max="2" width="22.6640625" style="125" customWidth="1"/>
    <col min="3" max="8" width="13.33203125" style="125" customWidth="1"/>
    <col min="9" max="9" width="23.6640625" style="125" customWidth="1"/>
    <col min="10" max="16" width="11.6640625" style="125" customWidth="1"/>
    <col min="17" max="16384" width="9.33203125" style="125"/>
  </cols>
  <sheetData>
    <row r="1" spans="1:17" ht="25.15" customHeight="1">
      <c r="A1" s="1153" t="s">
        <v>1189</v>
      </c>
      <c r="B1" s="1153"/>
      <c r="C1" s="1153"/>
      <c r="D1" s="1153"/>
      <c r="E1" s="1153"/>
      <c r="F1" s="1153"/>
      <c r="G1" s="1153"/>
      <c r="H1" s="1153"/>
      <c r="I1" s="1153"/>
      <c r="J1" s="126"/>
      <c r="K1" s="127" t="s">
        <v>61</v>
      </c>
      <c r="L1" s="126"/>
      <c r="M1" s="126"/>
      <c r="N1" s="126"/>
      <c r="O1" s="126"/>
      <c r="P1" s="126"/>
      <c r="Q1" s="126"/>
    </row>
    <row r="2" spans="1:17" s="128" customFormat="1" ht="14.1" customHeight="1">
      <c r="A2" s="1154" t="s">
        <v>1264</v>
      </c>
      <c r="B2" s="1154"/>
      <c r="C2" s="1154"/>
      <c r="D2" s="1154"/>
      <c r="E2" s="1154"/>
      <c r="F2" s="1154"/>
      <c r="G2" s="1154"/>
      <c r="H2" s="1154"/>
      <c r="I2" s="1154"/>
      <c r="J2" s="129"/>
      <c r="K2" s="127">
        <f>COUNT(C19:C30)</f>
        <v>5</v>
      </c>
      <c r="L2" s="129"/>
      <c r="M2" s="129"/>
      <c r="N2" s="129"/>
      <c r="O2" s="129"/>
      <c r="P2" s="129"/>
      <c r="Q2" s="129"/>
    </row>
    <row r="3" spans="1:17" s="128" customFormat="1" ht="14.1" customHeight="1">
      <c r="A3" s="1154" t="s">
        <v>1268</v>
      </c>
      <c r="B3" s="1154"/>
      <c r="C3" s="1154"/>
      <c r="D3" s="1154"/>
      <c r="E3" s="1154"/>
      <c r="F3" s="1154"/>
      <c r="G3" s="1154"/>
      <c r="H3" s="1154"/>
      <c r="I3" s="1154"/>
      <c r="J3" s="129"/>
      <c r="K3" s="129"/>
      <c r="L3" s="129"/>
      <c r="M3" s="129"/>
      <c r="N3" s="129"/>
      <c r="O3" s="129"/>
      <c r="P3" s="129"/>
      <c r="Q3" s="129"/>
    </row>
    <row r="4" spans="1:17" ht="30.75" customHeight="1">
      <c r="A4" s="126"/>
      <c r="B4" s="255"/>
      <c r="C4" s="126"/>
      <c r="D4" s="137"/>
      <c r="E4" s="137"/>
      <c r="F4" s="137"/>
      <c r="G4" s="137"/>
      <c r="H4" s="137"/>
      <c r="I4" s="126"/>
      <c r="J4" s="126"/>
      <c r="K4" s="126"/>
      <c r="L4" s="126"/>
      <c r="M4" s="126"/>
      <c r="N4" s="126"/>
      <c r="O4" s="126"/>
      <c r="P4" s="126"/>
      <c r="Q4" s="126"/>
    </row>
    <row r="5" spans="1:17" ht="18" customHeight="1" thickBot="1">
      <c r="A5" s="126"/>
      <c r="B5" s="133"/>
      <c r="C5" s="134" t="s">
        <v>1192</v>
      </c>
      <c r="D5" s="135" t="s">
        <v>1193</v>
      </c>
      <c r="E5" s="135" t="s">
        <v>1194</v>
      </c>
      <c r="F5" s="135" t="s">
        <v>1195</v>
      </c>
      <c r="G5" s="135" t="s">
        <v>1196</v>
      </c>
      <c r="H5" s="135" t="s">
        <v>1197</v>
      </c>
      <c r="I5" s="126"/>
      <c r="J5" s="126"/>
      <c r="K5" s="126"/>
      <c r="L5" s="126"/>
      <c r="M5" s="126"/>
      <c r="N5" s="126"/>
      <c r="O5" s="126"/>
      <c r="P5" s="126"/>
      <c r="Q5" s="126"/>
    </row>
    <row r="6" spans="1:17" s="154" customFormat="1" ht="52.5" customHeight="1" thickBot="1">
      <c r="A6" s="256"/>
      <c r="B6" s="139" t="s">
        <v>1203</v>
      </c>
      <c r="C6" s="142" t="s">
        <v>1204</v>
      </c>
      <c r="D6" s="141" t="s">
        <v>90</v>
      </c>
      <c r="E6" s="142" t="s">
        <v>1266</v>
      </c>
      <c r="F6" s="140" t="s">
        <v>1244</v>
      </c>
      <c r="G6" s="141" t="s">
        <v>1245</v>
      </c>
      <c r="H6" s="336" t="s">
        <v>1246</v>
      </c>
      <c r="I6" s="337"/>
      <c r="J6" s="256"/>
      <c r="K6" s="338" t="s">
        <v>1204</v>
      </c>
      <c r="L6" s="339" t="s">
        <v>1262</v>
      </c>
      <c r="M6" s="340" t="s">
        <v>1243</v>
      </c>
      <c r="N6" s="339" t="s">
        <v>1244</v>
      </c>
      <c r="O6" s="341" t="s">
        <v>1263</v>
      </c>
      <c r="P6" s="376"/>
      <c r="Q6" s="256"/>
    </row>
    <row r="7" spans="1:17">
      <c r="A7" s="126"/>
      <c r="B7" s="155" t="s">
        <v>1217</v>
      </c>
      <c r="C7" s="257">
        <f>Vision!C7</f>
        <v>552</v>
      </c>
      <c r="D7" s="343">
        <f>Vision!D7/Vision!$C7</f>
        <v>21.21449275362319</v>
      </c>
      <c r="E7" s="259">
        <f>Vision!E7/Vision!$C7</f>
        <v>25.25</v>
      </c>
      <c r="F7" s="259">
        <f>Vision!F7/Vision!$C7</f>
        <v>2.02</v>
      </c>
      <c r="G7" s="343">
        <f>SUM(E7:F7)</f>
        <v>27.27</v>
      </c>
      <c r="H7" s="344">
        <f t="shared" ref="H7:H23" si="0">+G7/D7</f>
        <v>1.2854420002732612</v>
      </c>
      <c r="I7" s="126"/>
      <c r="J7" s="127">
        <v>1</v>
      </c>
      <c r="K7" s="258">
        <f>C7</f>
        <v>552</v>
      </c>
      <c r="L7" s="165">
        <f>D7</f>
        <v>21.21449275362319</v>
      </c>
      <c r="M7" s="259">
        <f>E7</f>
        <v>25.25</v>
      </c>
      <c r="N7" s="259">
        <f>F7</f>
        <v>2.02</v>
      </c>
      <c r="O7" s="345">
        <f>G7</f>
        <v>27.27</v>
      </c>
      <c r="P7" s="377"/>
      <c r="Q7" s="126"/>
    </row>
    <row r="8" spans="1:17">
      <c r="A8" s="126"/>
      <c r="B8" s="168" t="s">
        <v>1219</v>
      </c>
      <c r="C8" s="257">
        <f>Vision!C8</f>
        <v>552</v>
      </c>
      <c r="D8" s="347">
        <f>Vision!D8/Vision!$C8</f>
        <v>21.291431159420291</v>
      </c>
      <c r="E8" s="263">
        <f>Vision!E8/Vision!$C8</f>
        <v>17.759057971014492</v>
      </c>
      <c r="F8" s="263">
        <f>Vision!F8/Vision!$C8</f>
        <v>2.02</v>
      </c>
      <c r="G8" s="347">
        <f t="shared" ref="G8:G23" si="1">SUM(E8:F8)</f>
        <v>19.779057971014492</v>
      </c>
      <c r="H8" s="344">
        <f t="shared" si="0"/>
        <v>0.92896798824457338</v>
      </c>
      <c r="I8" s="126"/>
      <c r="J8" s="127">
        <v>2</v>
      </c>
      <c r="K8" s="258">
        <f>AVERAGE($C$7:C8)</f>
        <v>552</v>
      </c>
      <c r="L8" s="262">
        <f>L7+D8</f>
        <v>42.505923913043482</v>
      </c>
      <c r="M8" s="263">
        <f>M7+E8</f>
        <v>43.009057971014492</v>
      </c>
      <c r="N8" s="263">
        <f>N7+F8</f>
        <v>4.04</v>
      </c>
      <c r="O8" s="348">
        <f>O7+G8</f>
        <v>47.049057971014491</v>
      </c>
      <c r="P8" s="377"/>
      <c r="Q8" s="126"/>
    </row>
    <row r="9" spans="1:17">
      <c r="A9" s="126"/>
      <c r="B9" s="168" t="s">
        <v>1220</v>
      </c>
      <c r="C9" s="257">
        <f>Vision!C9</f>
        <v>553</v>
      </c>
      <c r="D9" s="347">
        <f>Vision!D9/Vision!$C9</f>
        <v>21.285804701627484</v>
      </c>
      <c r="E9" s="263">
        <f>Vision!E9/Vision!$C9</f>
        <v>15.61121157323689</v>
      </c>
      <c r="F9" s="263">
        <f>Vision!F9/Vision!$C9</f>
        <v>2.02</v>
      </c>
      <c r="G9" s="347">
        <f t="shared" si="1"/>
        <v>17.631211573236889</v>
      </c>
      <c r="H9" s="344">
        <f t="shared" si="0"/>
        <v>0.82830843467660076</v>
      </c>
      <c r="I9" s="126"/>
      <c r="J9" s="127">
        <v>3</v>
      </c>
      <c r="K9" s="258">
        <f>AVERAGE($C$7:C9)</f>
        <v>552.33333333333337</v>
      </c>
      <c r="L9" s="262">
        <f t="shared" ref="L9:O18" si="2">L8+D9</f>
        <v>63.791728614670966</v>
      </c>
      <c r="M9" s="263">
        <f t="shared" si="2"/>
        <v>58.620269544251386</v>
      </c>
      <c r="N9" s="263">
        <f t="shared" si="2"/>
        <v>6.0600000000000005</v>
      </c>
      <c r="O9" s="348">
        <f t="shared" si="2"/>
        <v>64.680269544251388</v>
      </c>
      <c r="P9" s="377"/>
      <c r="Q9" s="126"/>
    </row>
    <row r="10" spans="1:17">
      <c r="A10" s="126"/>
      <c r="B10" s="168" t="s">
        <v>1221</v>
      </c>
      <c r="C10" s="257">
        <f>Vision!C10</f>
        <v>552</v>
      </c>
      <c r="D10" s="347">
        <f>Vision!D10/Vision!$C10</f>
        <v>21.32036231884058</v>
      </c>
      <c r="E10" s="263">
        <f>Vision!E10/Vision!$C10</f>
        <v>19.036231884057973</v>
      </c>
      <c r="F10" s="263">
        <f>Vision!F10/Vision!$C10</f>
        <v>2.02</v>
      </c>
      <c r="G10" s="347">
        <f t="shared" si="1"/>
        <v>21.056231884057972</v>
      </c>
      <c r="H10" s="344">
        <f t="shared" si="0"/>
        <v>0.98761135337042572</v>
      </c>
      <c r="I10" s="126"/>
      <c r="J10" s="127">
        <v>4</v>
      </c>
      <c r="K10" s="258">
        <f>AVERAGE($C$7:C10)</f>
        <v>552.25</v>
      </c>
      <c r="L10" s="262">
        <f t="shared" si="2"/>
        <v>85.112090933511553</v>
      </c>
      <c r="M10" s="263">
        <f t="shared" si="2"/>
        <v>77.656501428309355</v>
      </c>
      <c r="N10" s="263">
        <f t="shared" si="2"/>
        <v>8.08</v>
      </c>
      <c r="O10" s="348">
        <f t="shared" si="2"/>
        <v>85.736501428309367</v>
      </c>
      <c r="P10" s="377"/>
      <c r="Q10" s="126"/>
    </row>
    <row r="11" spans="1:17">
      <c r="A11" s="126"/>
      <c r="B11" s="168" t="s">
        <v>1222</v>
      </c>
      <c r="C11" s="257">
        <f>Vision!C11</f>
        <v>556</v>
      </c>
      <c r="D11" s="347">
        <f>Vision!D11/Vision!$C11</f>
        <v>21.269874100719424</v>
      </c>
      <c r="E11" s="263">
        <f>Vision!E11/Vision!$C11</f>
        <v>18.499568345323741</v>
      </c>
      <c r="F11" s="263">
        <f>Vision!F11/Vision!$C11</f>
        <v>2.02</v>
      </c>
      <c r="G11" s="347">
        <f t="shared" si="1"/>
        <v>20.519568345323741</v>
      </c>
      <c r="H11" s="344">
        <f t="shared" si="0"/>
        <v>0.96472448535225208</v>
      </c>
      <c r="I11" s="126"/>
      <c r="J11" s="127">
        <v>5</v>
      </c>
      <c r="K11" s="258">
        <f>AVERAGE($C$7:C11)</f>
        <v>553</v>
      </c>
      <c r="L11" s="262">
        <f t="shared" si="2"/>
        <v>106.38196503423097</v>
      </c>
      <c r="M11" s="263">
        <f t="shared" si="2"/>
        <v>96.156069773633092</v>
      </c>
      <c r="N11" s="263">
        <f t="shared" si="2"/>
        <v>10.1</v>
      </c>
      <c r="O11" s="348">
        <f t="shared" si="2"/>
        <v>106.2560697736331</v>
      </c>
      <c r="P11" s="377"/>
      <c r="Q11" s="126"/>
    </row>
    <row r="12" spans="1:17">
      <c r="A12" s="126"/>
      <c r="B12" s="155" t="s">
        <v>1223</v>
      </c>
      <c r="C12" s="257">
        <f>Vision!C12</f>
        <v>554</v>
      </c>
      <c r="D12" s="347">
        <f>Vision!D12/Vision!$C12</f>
        <v>21.237039711191336</v>
      </c>
      <c r="E12" s="263">
        <f>Vision!E12/Vision!$C12</f>
        <v>14.637184115523466</v>
      </c>
      <c r="F12" s="263">
        <f>Vision!F12/Vision!$C12</f>
        <v>2.02</v>
      </c>
      <c r="G12" s="347">
        <f t="shared" si="1"/>
        <v>16.657184115523467</v>
      </c>
      <c r="H12" s="344">
        <f t="shared" si="0"/>
        <v>0.78434585714625704</v>
      </c>
      <c r="I12" s="126"/>
      <c r="J12" s="127">
        <v>6</v>
      </c>
      <c r="K12" s="258">
        <f>AVERAGE($C$7:C12)</f>
        <v>553.16666666666663</v>
      </c>
      <c r="L12" s="262">
        <f t="shared" si="2"/>
        <v>127.6190047454223</v>
      </c>
      <c r="M12" s="263">
        <f t="shared" si="2"/>
        <v>110.79325388915656</v>
      </c>
      <c r="N12" s="263">
        <f t="shared" si="2"/>
        <v>12.12</v>
      </c>
      <c r="O12" s="348">
        <f t="shared" si="2"/>
        <v>122.91325388915656</v>
      </c>
      <c r="P12" s="377"/>
      <c r="Q12" s="126"/>
    </row>
    <row r="13" spans="1:17">
      <c r="A13" s="126"/>
      <c r="B13" s="168" t="s">
        <v>1224</v>
      </c>
      <c r="C13" s="257">
        <f>Vision!C13</f>
        <v>556</v>
      </c>
      <c r="D13" s="347">
        <f>Vision!D13/Vision!$C13</f>
        <v>21.095881294964027</v>
      </c>
      <c r="E13" s="263">
        <f>Vision!E13/Vision!$C13</f>
        <v>15.217625899280575</v>
      </c>
      <c r="F13" s="263">
        <f>Vision!F13/Vision!$C13</f>
        <v>2.02</v>
      </c>
      <c r="G13" s="347">
        <f t="shared" si="1"/>
        <v>17.237625899280577</v>
      </c>
      <c r="H13" s="344">
        <f t="shared" si="0"/>
        <v>0.81710859377064815</v>
      </c>
      <c r="I13" s="126"/>
      <c r="J13" s="127">
        <v>7</v>
      </c>
      <c r="K13" s="258">
        <f>AVERAGE($C$7:C13)</f>
        <v>553.57142857142856</v>
      </c>
      <c r="L13" s="262">
        <f t="shared" si="2"/>
        <v>148.71488604038632</v>
      </c>
      <c r="M13" s="263">
        <f t="shared" si="2"/>
        <v>126.01087978843714</v>
      </c>
      <c r="N13" s="263">
        <f t="shared" si="2"/>
        <v>14.139999999999999</v>
      </c>
      <c r="O13" s="348">
        <f t="shared" si="2"/>
        <v>140.15087978843715</v>
      </c>
      <c r="P13" s="377"/>
      <c r="Q13" s="126"/>
    </row>
    <row r="14" spans="1:17">
      <c r="A14" s="126"/>
      <c r="B14" s="168" t="s">
        <v>1225</v>
      </c>
      <c r="C14" s="257">
        <f>Vision!C14</f>
        <v>567</v>
      </c>
      <c r="D14" s="347">
        <f>Vision!D14/Vision!$C14</f>
        <v>20.938906525573195</v>
      </c>
      <c r="E14" s="263">
        <f>Vision!E14/Vision!$C14</f>
        <v>13.109347442680775</v>
      </c>
      <c r="F14" s="263">
        <f>Vision!F14/Vision!$C14</f>
        <v>2.02</v>
      </c>
      <c r="G14" s="347">
        <f t="shared" si="1"/>
        <v>15.129347442680775</v>
      </c>
      <c r="H14" s="344">
        <f t="shared" si="0"/>
        <v>0.72254715995808738</v>
      </c>
      <c r="I14" s="126"/>
      <c r="J14" s="127">
        <v>8</v>
      </c>
      <c r="K14" s="258">
        <f>AVERAGE($C$7:C14)</f>
        <v>555.25</v>
      </c>
      <c r="L14" s="262">
        <f t="shared" si="2"/>
        <v>169.65379256595952</v>
      </c>
      <c r="M14" s="263">
        <f t="shared" si="2"/>
        <v>139.12022723111792</v>
      </c>
      <c r="N14" s="263">
        <f t="shared" si="2"/>
        <v>16.16</v>
      </c>
      <c r="O14" s="348">
        <f t="shared" si="2"/>
        <v>155.28022723111792</v>
      </c>
      <c r="P14" s="377"/>
      <c r="Q14" s="126"/>
    </row>
    <row r="15" spans="1:17">
      <c r="A15" s="126"/>
      <c r="B15" s="168" t="s">
        <v>1226</v>
      </c>
      <c r="C15" s="257">
        <f>Vision!C15</f>
        <v>575</v>
      </c>
      <c r="D15" s="173">
        <f>Vision!D15/Vision!$C15</f>
        <v>20.816104347826084</v>
      </c>
      <c r="E15" s="261">
        <f>Vision!E15/Vision!$C15</f>
        <v>18.41391304347826</v>
      </c>
      <c r="F15" s="261">
        <f>Vision!F15/Vision!$C15</f>
        <v>2.02</v>
      </c>
      <c r="G15" s="173">
        <f t="shared" si="1"/>
        <v>20.43391304347826</v>
      </c>
      <c r="H15" s="344">
        <f t="shared" si="0"/>
        <v>0.98163963352788741</v>
      </c>
      <c r="I15" s="126"/>
      <c r="J15" s="127">
        <v>9</v>
      </c>
      <c r="K15" s="258">
        <f>AVERAGE($C$7:C15)</f>
        <v>557.44444444444446</v>
      </c>
      <c r="L15" s="262">
        <f t="shared" si="2"/>
        <v>190.46989691378559</v>
      </c>
      <c r="M15" s="263">
        <f t="shared" si="2"/>
        <v>157.53414027459618</v>
      </c>
      <c r="N15" s="263">
        <f t="shared" si="2"/>
        <v>18.18</v>
      </c>
      <c r="O15" s="348">
        <f t="shared" si="2"/>
        <v>175.71414027459619</v>
      </c>
      <c r="P15" s="377"/>
      <c r="Q15" s="126"/>
    </row>
    <row r="16" spans="1:17">
      <c r="A16" s="126"/>
      <c r="B16" s="168" t="s">
        <v>1227</v>
      </c>
      <c r="C16" s="257">
        <f>Vision!C16</f>
        <v>577</v>
      </c>
      <c r="D16" s="173">
        <f>Vision!D16/Vision!$C16</f>
        <v>20.760415944540728</v>
      </c>
      <c r="E16" s="261">
        <f>Vision!E16/Vision!$C16</f>
        <v>16.057192374350088</v>
      </c>
      <c r="F16" s="261">
        <f>Vision!F16/Vision!$C16</f>
        <v>2.02</v>
      </c>
      <c r="G16" s="173">
        <f t="shared" si="1"/>
        <v>18.077192374350087</v>
      </c>
      <c r="H16" s="344">
        <f t="shared" si="0"/>
        <v>0.87075289929842492</v>
      </c>
      <c r="I16" s="126"/>
      <c r="J16" s="127">
        <v>10</v>
      </c>
      <c r="K16" s="258">
        <f>AVERAGE($C$7:C16)</f>
        <v>559.4</v>
      </c>
      <c r="L16" s="262">
        <f t="shared" si="2"/>
        <v>211.23031285832633</v>
      </c>
      <c r="M16" s="263">
        <f t="shared" si="2"/>
        <v>173.59133264894626</v>
      </c>
      <c r="N16" s="263">
        <f t="shared" si="2"/>
        <v>20.2</v>
      </c>
      <c r="O16" s="348">
        <f t="shared" si="2"/>
        <v>193.79133264894628</v>
      </c>
      <c r="P16" s="377"/>
      <c r="Q16" s="126"/>
    </row>
    <row r="17" spans="1:25">
      <c r="A17" s="126"/>
      <c r="B17" s="168" t="s">
        <v>1228</v>
      </c>
      <c r="C17" s="257">
        <f>Vision!C17</f>
        <v>578</v>
      </c>
      <c r="D17" s="173">
        <f>Vision!D17/Vision!$C17</f>
        <v>20.782802768166089</v>
      </c>
      <c r="E17" s="261">
        <f>Vision!E17/Vision!$C17</f>
        <v>15.581314878892734</v>
      </c>
      <c r="F17" s="261">
        <f>Vision!F17/Vision!$C17</f>
        <v>2.02</v>
      </c>
      <c r="G17" s="173">
        <f t="shared" si="1"/>
        <v>17.601314878892733</v>
      </c>
      <c r="H17" s="344">
        <f t="shared" si="0"/>
        <v>0.84691728421988499</v>
      </c>
      <c r="I17" s="126"/>
      <c r="J17" s="127">
        <v>11</v>
      </c>
      <c r="K17" s="258">
        <f>AVERAGE($C$7:C17)</f>
        <v>561.09090909090912</v>
      </c>
      <c r="L17" s="262">
        <f t="shared" si="2"/>
        <v>232.01311562649241</v>
      </c>
      <c r="M17" s="263">
        <f t="shared" si="2"/>
        <v>189.17264752783899</v>
      </c>
      <c r="N17" s="263">
        <f t="shared" si="2"/>
        <v>22.22</v>
      </c>
      <c r="O17" s="348">
        <f t="shared" si="2"/>
        <v>211.39264752783902</v>
      </c>
      <c r="P17" s="377"/>
      <c r="Q17" s="126"/>
    </row>
    <row r="18" spans="1:25" ht="13.5" thickBot="1">
      <c r="A18" s="126"/>
      <c r="B18" s="168" t="s">
        <v>1229</v>
      </c>
      <c r="C18" s="264">
        <f>Vision!C18</f>
        <v>581</v>
      </c>
      <c r="D18" s="181">
        <f>Vision!D18/Vision!$C18</f>
        <v>20.741411359724612</v>
      </c>
      <c r="E18" s="265">
        <f>Vision!E18/Vision!$C18</f>
        <v>19.373493975903614</v>
      </c>
      <c r="F18" s="265">
        <f>Vision!F18/Vision!$C18</f>
        <v>2.02</v>
      </c>
      <c r="G18" s="181">
        <f t="shared" si="1"/>
        <v>21.393493975903613</v>
      </c>
      <c r="H18" s="349">
        <f t="shared" si="0"/>
        <v>1.0314386810458427</v>
      </c>
      <c r="I18" s="126"/>
      <c r="J18" s="127">
        <v>12</v>
      </c>
      <c r="K18" s="350">
        <f>AVERAGE($C$7:C18)</f>
        <v>562.75</v>
      </c>
      <c r="L18" s="266">
        <f t="shared" si="2"/>
        <v>252.75452698621703</v>
      </c>
      <c r="M18" s="267">
        <f t="shared" si="2"/>
        <v>208.5461415037426</v>
      </c>
      <c r="N18" s="267">
        <f t="shared" si="2"/>
        <v>24.24</v>
      </c>
      <c r="O18" s="351">
        <f t="shared" si="2"/>
        <v>232.78614150374264</v>
      </c>
      <c r="P18" s="377"/>
      <c r="Q18" s="126"/>
    </row>
    <row r="19" spans="1:25" ht="12.75" customHeight="1" thickTop="1">
      <c r="A19" s="126"/>
      <c r="B19" s="321" t="s">
        <v>1230</v>
      </c>
      <c r="C19" s="257">
        <f>Vision!C19</f>
        <v>602</v>
      </c>
      <c r="D19" s="173">
        <f>Vision!D19/Vision!$C19</f>
        <v>21.219534883720929</v>
      </c>
      <c r="E19" s="261">
        <f>Vision!E19/Vision!$C19</f>
        <v>22.275747508305649</v>
      </c>
      <c r="F19" s="261">
        <f>Vision!F19/Vision!$C19</f>
        <v>2.76</v>
      </c>
      <c r="G19" s="173">
        <f t="shared" si="1"/>
        <v>25.035747508305647</v>
      </c>
      <c r="H19" s="344">
        <f t="shared" si="0"/>
        <v>1.1798443107022303</v>
      </c>
      <c r="I19" s="126"/>
      <c r="J19" s="127"/>
      <c r="K19" s="203"/>
      <c r="L19" s="203"/>
      <c r="M19" s="203"/>
      <c r="N19" s="203"/>
      <c r="O19" s="203"/>
      <c r="P19" s="269"/>
      <c r="Q19" s="126"/>
    </row>
    <row r="20" spans="1:25" ht="12.75" customHeight="1">
      <c r="A20" s="126"/>
      <c r="B20" s="168" t="s">
        <v>1219</v>
      </c>
      <c r="C20" s="257">
        <f>Vision!C20</f>
        <v>602</v>
      </c>
      <c r="D20" s="173">
        <f>Vision!D20/Vision!$C20</f>
        <v>21.174069767441861</v>
      </c>
      <c r="E20" s="261">
        <f>Vision!E20/Vision!$C20</f>
        <v>18.119601328903656</v>
      </c>
      <c r="F20" s="261">
        <f>Vision!F20/Vision!$C20</f>
        <v>2.76</v>
      </c>
      <c r="G20" s="173">
        <f t="shared" si="1"/>
        <v>20.879601328903654</v>
      </c>
      <c r="H20" s="344">
        <f t="shared" si="0"/>
        <v>0.98609296928873857</v>
      </c>
      <c r="I20" s="126"/>
      <c r="J20" s="127"/>
      <c r="K20" s="203"/>
      <c r="L20" s="203"/>
      <c r="M20" s="203"/>
      <c r="N20" s="203"/>
      <c r="O20" s="203"/>
      <c r="P20" s="269"/>
      <c r="Q20" s="126"/>
    </row>
    <row r="21" spans="1:25" ht="12.75" customHeight="1">
      <c r="A21" s="126"/>
      <c r="B21" s="168" t="s">
        <v>1220</v>
      </c>
      <c r="C21" s="257">
        <f>Vision!C21</f>
        <v>601</v>
      </c>
      <c r="D21" s="173">
        <f>Vision!D21/Vision!$C21</f>
        <v>21.072079866888519</v>
      </c>
      <c r="E21" s="261">
        <f>Vision!E21/Vision!$C21</f>
        <v>18.662229617304494</v>
      </c>
      <c r="F21" s="261">
        <f>Vision!F21/Vision!$C21</f>
        <v>2.76</v>
      </c>
      <c r="G21" s="173">
        <f t="shared" si="1"/>
        <v>21.422229617304495</v>
      </c>
      <c r="H21" s="344">
        <f t="shared" si="0"/>
        <v>1.0166167626844553</v>
      </c>
      <c r="I21" s="126"/>
      <c r="J21" s="127"/>
      <c r="K21" s="203"/>
      <c r="L21" s="203"/>
      <c r="M21" s="203"/>
      <c r="N21" s="203"/>
      <c r="O21" s="203"/>
      <c r="P21" s="269"/>
      <c r="Q21" s="126"/>
    </row>
    <row r="22" spans="1:25" ht="12.75" customHeight="1">
      <c r="A22" s="126"/>
      <c r="B22" s="168" t="s">
        <v>1221</v>
      </c>
      <c r="C22" s="257">
        <f>Vision!C22</f>
        <v>596</v>
      </c>
      <c r="D22" s="173">
        <f>Vision!D22/Vision!$C22</f>
        <v>21.046124161073823</v>
      </c>
      <c r="E22" s="261">
        <f>Vision!E22/Vision!$C22</f>
        <v>23.446308724832214</v>
      </c>
      <c r="F22" s="261">
        <f>Vision!F22/Vision!$C22</f>
        <v>2.76</v>
      </c>
      <c r="G22" s="173">
        <f t="shared" si="1"/>
        <v>26.206308724832212</v>
      </c>
      <c r="H22" s="344">
        <f t="shared" si="0"/>
        <v>1.2451845539000708</v>
      </c>
      <c r="I22" s="126"/>
      <c r="J22" s="127"/>
      <c r="K22" s="203"/>
      <c r="L22" s="203"/>
      <c r="M22" s="203"/>
      <c r="N22" s="203"/>
      <c r="O22" s="203"/>
      <c r="P22" s="269"/>
      <c r="Q22" s="126"/>
    </row>
    <row r="23" spans="1:25" ht="12.75" customHeight="1">
      <c r="A23" s="126"/>
      <c r="B23" s="168" t="s">
        <v>1222</v>
      </c>
      <c r="C23" s="257">
        <f>Vision!C23</f>
        <v>598</v>
      </c>
      <c r="D23" s="173">
        <f>Vision!D23/Vision!$C23</f>
        <v>21.005568561872909</v>
      </c>
      <c r="E23" s="261">
        <f>Vision!E23/Vision!$C23</f>
        <v>13.51505016722408</v>
      </c>
      <c r="F23" s="261">
        <f>Vision!F23/Vision!$C23</f>
        <v>2.76</v>
      </c>
      <c r="G23" s="173">
        <f t="shared" si="1"/>
        <v>16.27505016722408</v>
      </c>
      <c r="H23" s="344">
        <f t="shared" si="0"/>
        <v>0.77479693631168034</v>
      </c>
      <c r="I23" s="126"/>
      <c r="J23" s="193"/>
      <c r="K23" s="210"/>
      <c r="L23" s="210"/>
      <c r="M23" s="210"/>
      <c r="N23" s="210"/>
      <c r="O23" s="210"/>
      <c r="P23" s="192"/>
    </row>
    <row r="24" spans="1:25" ht="12.75" customHeight="1">
      <c r="A24" s="126"/>
      <c r="B24" s="155" t="s">
        <v>1223</v>
      </c>
      <c r="C24" s="257"/>
      <c r="D24" s="173"/>
      <c r="E24" s="261"/>
      <c r="F24" s="261"/>
      <c r="G24" s="173"/>
      <c r="H24" s="344"/>
      <c r="I24" s="126"/>
      <c r="J24" s="193"/>
      <c r="K24" s="210"/>
      <c r="L24" s="210"/>
      <c r="M24" s="210"/>
      <c r="N24" s="210"/>
      <c r="O24" s="210"/>
      <c r="P24" s="192"/>
    </row>
    <row r="25" spans="1:25" ht="12.75" customHeight="1">
      <c r="A25" s="126"/>
      <c r="B25" s="168" t="s">
        <v>1224</v>
      </c>
      <c r="C25" s="257"/>
      <c r="D25" s="173"/>
      <c r="E25" s="261"/>
      <c r="F25" s="261"/>
      <c r="G25" s="173"/>
      <c r="H25" s="344"/>
      <c r="I25" s="126"/>
      <c r="J25" s="193"/>
      <c r="K25" s="210"/>
      <c r="L25" s="210"/>
      <c r="M25" s="210"/>
      <c r="N25" s="210"/>
      <c r="O25" s="210"/>
      <c r="P25" s="192"/>
    </row>
    <row r="26" spans="1:25" ht="12.75" customHeight="1">
      <c r="A26" s="126"/>
      <c r="B26" s="168" t="s">
        <v>1225</v>
      </c>
      <c r="C26" s="257"/>
      <c r="D26" s="173"/>
      <c r="E26" s="261"/>
      <c r="F26" s="261"/>
      <c r="G26" s="173"/>
      <c r="H26" s="344"/>
      <c r="I26" s="126"/>
      <c r="J26" s="193"/>
      <c r="K26" s="210"/>
      <c r="L26" s="210"/>
      <c r="M26" s="210"/>
      <c r="N26" s="210"/>
      <c r="O26" s="210"/>
      <c r="P26" s="192"/>
    </row>
    <row r="27" spans="1:25" ht="12.75" customHeight="1">
      <c r="A27" s="126"/>
      <c r="B27" s="168" t="s">
        <v>1226</v>
      </c>
      <c r="C27" s="257"/>
      <c r="D27" s="173"/>
      <c r="E27" s="261"/>
      <c r="F27" s="261"/>
      <c r="G27" s="173"/>
      <c r="H27" s="344"/>
      <c r="I27" s="126"/>
      <c r="J27" s="193"/>
      <c r="K27" s="210"/>
      <c r="L27" s="210"/>
      <c r="M27" s="210"/>
      <c r="N27" s="210"/>
      <c r="O27" s="210"/>
      <c r="P27" s="192"/>
    </row>
    <row r="28" spans="1:25" ht="12.75" customHeight="1">
      <c r="A28" s="126"/>
      <c r="B28" s="168" t="s">
        <v>1227</v>
      </c>
      <c r="C28" s="257"/>
      <c r="D28" s="173"/>
      <c r="E28" s="261"/>
      <c r="F28" s="261"/>
      <c r="G28" s="173"/>
      <c r="H28" s="344"/>
      <c r="I28" s="126"/>
      <c r="J28" s="193"/>
      <c r="K28" s="210"/>
      <c r="L28" s="210"/>
      <c r="M28" s="210"/>
      <c r="N28" s="210"/>
      <c r="O28" s="210"/>
      <c r="P28" s="192"/>
    </row>
    <row r="29" spans="1:25" ht="12.75" customHeight="1">
      <c r="A29" s="126"/>
      <c r="B29" s="168" t="s">
        <v>1228</v>
      </c>
      <c r="C29" s="257"/>
      <c r="D29" s="173"/>
      <c r="E29" s="261"/>
      <c r="F29" s="261"/>
      <c r="G29" s="173"/>
      <c r="H29" s="344"/>
      <c r="I29" s="126"/>
      <c r="J29" s="193"/>
      <c r="K29" s="210"/>
      <c r="L29" s="210"/>
      <c r="M29" s="210"/>
      <c r="N29" s="210"/>
      <c r="O29" s="210"/>
      <c r="P29" s="192"/>
    </row>
    <row r="30" spans="1:25" ht="12.75" customHeight="1" thickBot="1">
      <c r="A30" s="126"/>
      <c r="B30" s="198" t="s">
        <v>1229</v>
      </c>
      <c r="C30" s="268"/>
      <c r="D30" s="201"/>
      <c r="E30" s="270"/>
      <c r="F30" s="270"/>
      <c r="G30" s="201"/>
      <c r="H30" s="352"/>
      <c r="I30" s="126"/>
      <c r="J30" s="193"/>
      <c r="K30" s="210"/>
      <c r="L30" s="210"/>
      <c r="M30" s="210"/>
      <c r="N30" s="210"/>
      <c r="O30" s="210"/>
      <c r="P30" s="192"/>
    </row>
    <row r="31" spans="1:25" ht="14.65" customHeight="1">
      <c r="A31" s="202"/>
      <c r="B31" s="203"/>
      <c r="C31" s="204"/>
      <c r="D31" s="204"/>
      <c r="E31" s="204"/>
      <c r="F31" s="204"/>
      <c r="G31" s="204"/>
      <c r="H31" s="204"/>
      <c r="I31" s="191"/>
      <c r="J31" s="194"/>
      <c r="K31" s="194"/>
      <c r="L31" s="194"/>
      <c r="M31" s="205"/>
      <c r="N31" s="193"/>
      <c r="O31" s="195"/>
      <c r="P31" s="195"/>
      <c r="Q31" s="195"/>
      <c r="R31" s="136"/>
      <c r="S31" s="195"/>
      <c r="T31" s="195"/>
      <c r="U31" s="196"/>
      <c r="V31" s="195"/>
      <c r="W31" s="195"/>
      <c r="X31" s="195"/>
      <c r="Y31" s="197"/>
    </row>
    <row r="32" spans="1:25" ht="12" customHeight="1" thickBot="1">
      <c r="A32" s="206"/>
      <c r="B32" s="207"/>
      <c r="C32" s="353"/>
      <c r="D32" s="353"/>
      <c r="E32" s="353"/>
      <c r="F32" s="353"/>
      <c r="G32" s="353"/>
      <c r="H32" s="353"/>
      <c r="I32" s="353"/>
      <c r="J32" s="378"/>
      <c r="K32" s="378"/>
      <c r="L32" s="379"/>
      <c r="N32" s="193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192"/>
    </row>
    <row r="33" spans="1:25" ht="13.15" customHeight="1">
      <c r="A33" s="226"/>
      <c r="B33" s="211" t="s">
        <v>1231</v>
      </c>
      <c r="C33" s="380">
        <f>AVERAGE(C19:C30)</f>
        <v>599.79999999999995</v>
      </c>
      <c r="D33" s="212">
        <f>SUM(D19:D30)</f>
        <v>105.51737724099803</v>
      </c>
      <c r="E33" s="355">
        <f>SUM(E19:E30)</f>
        <v>96.018937346570084</v>
      </c>
      <c r="F33" s="355">
        <f>SUM(F19:F30)</f>
        <v>13.799999999999999</v>
      </c>
      <c r="G33" s="212">
        <f>SUM(G19:G30)</f>
        <v>109.81893734657008</v>
      </c>
      <c r="H33" s="356">
        <f>G33/D33</f>
        <v>1.0407663668112925</v>
      </c>
      <c r="I33" s="353"/>
      <c r="J33" s="378"/>
      <c r="K33" s="378"/>
      <c r="L33" s="379"/>
      <c r="N33" s="193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192"/>
    </row>
    <row r="34" spans="1:25" ht="13.15" customHeight="1">
      <c r="A34" s="226"/>
      <c r="B34" s="214" t="s">
        <v>1232</v>
      </c>
      <c r="C34" s="381">
        <f>((LOOKUP($K$2,$J$7:$J$18,K7:K18)))</f>
        <v>553</v>
      </c>
      <c r="D34" s="272">
        <f>((LOOKUP($K$2,$J$7:$J$18,L7:L18)))</f>
        <v>106.38196503423097</v>
      </c>
      <c r="E34" s="273">
        <f>((LOOKUP($K$2,$J$7:$J$18,M7:M18)))</f>
        <v>96.156069773633092</v>
      </c>
      <c r="F34" s="273">
        <f>((LOOKUP($K$2,$J$7:$J$18,N7:N18)))</f>
        <v>10.1</v>
      </c>
      <c r="G34" s="272">
        <f>((LOOKUP($K$2,$J$7:$J$18,O7:O18)))</f>
        <v>106.2560697736331</v>
      </c>
      <c r="H34" s="358">
        <f>G34/D34</f>
        <v>0.99881657327388751</v>
      </c>
      <c r="I34" s="359"/>
      <c r="J34" s="382"/>
      <c r="K34" s="382"/>
      <c r="L34" s="379"/>
      <c r="N34" s="193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192"/>
    </row>
    <row r="35" spans="1:25" ht="13.15" customHeight="1" thickBot="1">
      <c r="A35" s="226"/>
      <c r="B35" s="217" t="s">
        <v>1233</v>
      </c>
      <c r="C35" s="218">
        <f t="shared" ref="C35:H35" si="3">(C33/C34)-1</f>
        <v>8.4629294755876883E-2</v>
      </c>
      <c r="D35" s="219">
        <f t="shared" si="3"/>
        <v>-8.1272026978890244E-3</v>
      </c>
      <c r="E35" s="218">
        <f t="shared" si="3"/>
        <v>-1.4261442609482256E-3</v>
      </c>
      <c r="F35" s="218">
        <f t="shared" si="3"/>
        <v>0.36633663366336622</v>
      </c>
      <c r="G35" s="219">
        <f t="shared" si="3"/>
        <v>3.3530955742361535E-2</v>
      </c>
      <c r="H35" s="360">
        <f t="shared" si="3"/>
        <v>4.1999496864477681E-2</v>
      </c>
      <c r="I35" s="361"/>
      <c r="J35" s="379"/>
      <c r="K35" s="379"/>
      <c r="L35" s="379"/>
      <c r="N35" s="193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192"/>
    </row>
    <row r="36" spans="1:25" ht="13.15" customHeight="1">
      <c r="A36" s="202"/>
      <c r="B36" s="202"/>
      <c r="C36" s="207" t="s">
        <v>1234</v>
      </c>
      <c r="D36" s="204"/>
      <c r="E36" s="204"/>
      <c r="F36" s="204"/>
      <c r="G36" s="191"/>
      <c r="H36" s="191"/>
      <c r="I36" s="191"/>
      <c r="J36" s="194"/>
      <c r="K36" s="194"/>
      <c r="L36" s="194"/>
      <c r="N36" s="193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192"/>
    </row>
    <row r="37" spans="1:25" ht="13.15" customHeight="1" thickBot="1">
      <c r="A37" s="206"/>
      <c r="B37" s="206"/>
      <c r="C37" s="204"/>
      <c r="D37" s="204"/>
      <c r="E37" s="204"/>
      <c r="F37" s="204"/>
      <c r="G37" s="191"/>
      <c r="H37" s="191"/>
      <c r="I37" s="191"/>
      <c r="J37" s="194"/>
      <c r="K37" s="194"/>
      <c r="L37" s="194"/>
      <c r="N37" s="193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192"/>
    </row>
    <row r="38" spans="1:25" ht="13.15" customHeight="1" thickBot="1">
      <c r="A38" s="226"/>
      <c r="B38" s="222" t="s">
        <v>1235</v>
      </c>
      <c r="C38" s="383">
        <f>AVERAGE(C7:C18)</f>
        <v>562.75</v>
      </c>
      <c r="D38" s="223">
        <f>SUM(D7:D18)</f>
        <v>252.75452698621703</v>
      </c>
      <c r="E38" s="363">
        <f>SUM(E7:E18)</f>
        <v>208.5461415037426</v>
      </c>
      <c r="F38" s="363">
        <f>SUM(F7:F18)</f>
        <v>24.24</v>
      </c>
      <c r="G38" s="223">
        <f>SUM(G7:G18)</f>
        <v>232.78614150374264</v>
      </c>
      <c r="H38" s="364">
        <f>G38/D38</f>
        <v>0.92099692250590914</v>
      </c>
      <c r="I38" s="353"/>
      <c r="J38" s="378"/>
      <c r="K38" s="378"/>
      <c r="L38" s="379"/>
      <c r="N38" s="193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192"/>
    </row>
    <row r="39" spans="1:25" ht="13.15" customHeight="1">
      <c r="A39" s="226"/>
      <c r="B39" s="365"/>
      <c r="C39" s="207" t="s">
        <v>1234</v>
      </c>
      <c r="D39" s="353"/>
      <c r="E39" s="353"/>
      <c r="F39" s="353"/>
      <c r="G39" s="353"/>
      <c r="H39" s="353"/>
      <c r="I39" s="353"/>
      <c r="J39" s="378"/>
      <c r="K39" s="378"/>
      <c r="L39" s="379"/>
      <c r="N39" s="193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192"/>
    </row>
    <row r="40" spans="1:25" ht="13.15" customHeight="1">
      <c r="A40" s="226"/>
      <c r="B40" s="365"/>
      <c r="C40" s="353"/>
      <c r="D40" s="353"/>
      <c r="E40" s="353"/>
      <c r="F40" s="353"/>
      <c r="G40" s="353"/>
      <c r="H40" s="353"/>
      <c r="I40" s="353"/>
      <c r="J40" s="378"/>
      <c r="K40" s="378"/>
      <c r="L40" s="379"/>
      <c r="N40" s="193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192"/>
    </row>
    <row r="41" spans="1:25" ht="13.15" customHeight="1" thickBot="1">
      <c r="A41" s="227"/>
      <c r="B41" s="227" t="s">
        <v>1236</v>
      </c>
      <c r="C41" s="353"/>
      <c r="D41" s="353"/>
      <c r="E41" s="353"/>
      <c r="F41" s="353"/>
      <c r="G41" s="353"/>
      <c r="H41" s="353"/>
      <c r="I41" s="353"/>
      <c r="J41" s="378"/>
      <c r="K41" s="378"/>
      <c r="L41" s="379"/>
      <c r="N41" s="193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192"/>
    </row>
    <row r="42" spans="1:25" s="231" customFormat="1" ht="13.15" customHeight="1">
      <c r="A42" s="226"/>
      <c r="B42" s="366" t="s">
        <v>1237</v>
      </c>
      <c r="C42" s="384">
        <f ca="1">AVERAGE(OFFSET(C7,COUNT(C8:C30),0,-3))</f>
        <v>598.33333333333337</v>
      </c>
      <c r="D42" s="274">
        <f ca="1">SUM(OFFSET(D7,COUNT(D8:D30),0,-3))</f>
        <v>63.123772589835255</v>
      </c>
      <c r="E42" s="230">
        <f ca="1">SUM(OFFSET(E7,COUNT(E8:E30),0,-3))</f>
        <v>55.623588509360793</v>
      </c>
      <c r="F42" s="230">
        <f ca="1">SUM(OFFSET(F7,COUNT(F8:F30),0,-3))</f>
        <v>8.2799999999999994</v>
      </c>
      <c r="G42" s="274">
        <f ca="1">SUM(OFFSET(G7,COUNT(G8:G30),0,-3))</f>
        <v>63.903588509360787</v>
      </c>
      <c r="H42" s="368">
        <f ca="1">G42/D42</f>
        <v>1.0123537597252403</v>
      </c>
      <c r="I42" s="359"/>
      <c r="J42" s="382"/>
      <c r="K42" s="385"/>
      <c r="L42" s="379"/>
      <c r="N42" s="193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192"/>
    </row>
    <row r="43" spans="1:25" ht="13.15" customHeight="1">
      <c r="A43" s="226"/>
      <c r="B43" s="369" t="s">
        <v>1238</v>
      </c>
      <c r="C43" s="386">
        <f ca="1">AVERAGE(OFFSET(C7,COUNT(C8:C30),0,-6))</f>
        <v>596.66666666666663</v>
      </c>
      <c r="D43" s="371">
        <f ca="1">SUM(OFFSET(D7,COUNT(D8:D30),0,-6))</f>
        <v>126.25878860072264</v>
      </c>
      <c r="E43" s="235">
        <f ca="1">SUM(OFFSET(E7,COUNT(E8:E30),0,-6))</f>
        <v>115.3924313224737</v>
      </c>
      <c r="F43" s="236">
        <f ca="1">SUM(OFFSET(F7,COUNT(F8:F30),0,-6))</f>
        <v>15.819999999999999</v>
      </c>
      <c r="G43" s="233">
        <f ca="1">SUM(OFFSET(G7,COUNT(G8:G30),0,-6))</f>
        <v>131.21243132247369</v>
      </c>
      <c r="H43" s="358">
        <f ca="1">G43/D43</f>
        <v>1.0392340428468414</v>
      </c>
      <c r="I43" s="237"/>
      <c r="J43" s="385"/>
      <c r="K43" s="385"/>
      <c r="L43" s="379"/>
      <c r="N43" s="193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192"/>
    </row>
    <row r="44" spans="1:25" ht="13.15" customHeight="1" thickBot="1">
      <c r="A44" s="226"/>
      <c r="B44" s="372" t="s">
        <v>1239</v>
      </c>
      <c r="C44" s="387">
        <f ca="1">AVERAGE(OFFSET(C7,COUNT(C8:C30),0,-12))</f>
        <v>582.25</v>
      </c>
      <c r="D44" s="374">
        <f ca="1">SUM(OFFSET(D7,COUNT(D8:D30),0,-12))</f>
        <v>251.88993919298414</v>
      </c>
      <c r="E44" s="242">
        <f ca="1">SUM(OFFSET(E7,COUNT(E8:E30),0,-12))</f>
        <v>208.40900907667958</v>
      </c>
      <c r="F44" s="243">
        <f ca="1">SUM(OFFSET(F7,COUNT(F8:F30),0,-12))</f>
        <v>27.939999999999991</v>
      </c>
      <c r="G44" s="240">
        <f ca="1">SUM(OFFSET(G7,COUNT(G8:G30),0,-12))</f>
        <v>236.34900907667958</v>
      </c>
      <c r="H44" s="375">
        <f ca="1">G44/D44</f>
        <v>0.93830269614540673</v>
      </c>
      <c r="I44" s="237"/>
      <c r="J44" s="385"/>
      <c r="K44" s="385"/>
      <c r="L44" s="379"/>
      <c r="N44" s="193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192"/>
    </row>
    <row r="45" spans="1:25" ht="13.5" customHeight="1">
      <c r="A45" s="202"/>
      <c r="B45" s="365"/>
      <c r="C45" s="207" t="s">
        <v>1234</v>
      </c>
      <c r="D45" s="244"/>
      <c r="E45" s="204"/>
      <c r="F45" s="204"/>
      <c r="G45" s="191"/>
      <c r="H45" s="191"/>
      <c r="I45" s="191"/>
      <c r="J45" s="194"/>
      <c r="K45" s="194"/>
      <c r="L45" s="194"/>
      <c r="N45" s="193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192"/>
    </row>
    <row r="46" spans="1:25" s="247" customFormat="1" ht="13.5" customHeight="1">
      <c r="A46" s="126"/>
      <c r="B46" s="275"/>
      <c r="C46" s="260"/>
      <c r="D46" s="260"/>
      <c r="E46" s="260"/>
      <c r="F46" s="137"/>
      <c r="G46" s="137"/>
      <c r="H46" s="137"/>
      <c r="I46" s="126"/>
      <c r="J46" s="193"/>
      <c r="K46" s="193"/>
      <c r="L46" s="193"/>
    </row>
    <row r="47" spans="1:25">
      <c r="B47" s="248"/>
      <c r="C47" s="205"/>
      <c r="D47" s="205"/>
      <c r="E47" s="205"/>
      <c r="F47" s="136"/>
      <c r="G47" s="136"/>
      <c r="H47" s="136"/>
    </row>
    <row r="48" spans="1:25">
      <c r="B48" s="248"/>
      <c r="C48" s="205"/>
      <c r="D48" s="205"/>
      <c r="E48" s="205"/>
      <c r="F48" s="205"/>
      <c r="G48" s="205"/>
      <c r="H48" s="136"/>
    </row>
    <row r="49" spans="2:8">
      <c r="B49" s="248"/>
      <c r="C49" s="205"/>
      <c r="D49" s="205"/>
      <c r="E49" s="205"/>
      <c r="F49" s="205"/>
      <c r="G49" s="205"/>
      <c r="H49" s="136"/>
    </row>
    <row r="50" spans="2:8">
      <c r="B50" s="248"/>
      <c r="C50" s="205"/>
      <c r="D50" s="205"/>
      <c r="E50" s="205"/>
      <c r="F50" s="205"/>
      <c r="G50" s="205"/>
      <c r="H50" s="136"/>
    </row>
    <row r="51" spans="2:8">
      <c r="B51" s="248"/>
      <c r="C51" s="205"/>
      <c r="D51" s="205"/>
      <c r="E51" s="205"/>
      <c r="F51" s="205"/>
      <c r="G51" s="205"/>
      <c r="H51" s="136"/>
    </row>
    <row r="52" spans="2:8">
      <c r="C52" s="205"/>
      <c r="D52" s="205"/>
      <c r="E52" s="205"/>
      <c r="F52" s="205"/>
      <c r="G52" s="205"/>
    </row>
    <row r="53" spans="2:8">
      <c r="C53" s="205"/>
      <c r="D53" s="205"/>
      <c r="E53" s="205"/>
      <c r="F53" s="205"/>
      <c r="G53" s="205"/>
    </row>
  </sheetData>
  <mergeCells count="3">
    <mergeCell ref="A1:I1"/>
    <mergeCell ref="A2:I2"/>
    <mergeCell ref="A3:I3"/>
  </mergeCells>
  <printOptions horizontalCentered="1"/>
  <pageMargins left="0.25" right="0.25" top="0.5" bottom="0.25" header="0.5" footer="0.15"/>
  <pageSetup scale="79" orientation="landscape" r:id="rId1"/>
  <headerFooter scaleWithDoc="0" alignWithMargins="0">
    <oddFooter>&amp;LAlera Group&amp;C
&amp;"Times New Roman,Regular"
&amp;R&amp;"Times New Roman,Regular"                &amp;"Arial,Regular"          Page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6D78F-A1B0-4020-8936-B5289D517619}">
  <dimension ref="B2:T49"/>
  <sheetViews>
    <sheetView showGridLines="0" tabSelected="1" zoomScale="85" zoomScaleNormal="85" workbookViewId="0">
      <selection activeCell="G14" sqref="G14"/>
    </sheetView>
  </sheetViews>
  <sheetFormatPr defaultColWidth="9.21875" defaultRowHeight="12.75"/>
  <cols>
    <col min="1" max="1" width="9.21875" style="711"/>
    <col min="2" max="2" width="32.33203125" style="711" customWidth="1"/>
    <col min="3" max="3" width="5.21875" style="711" customWidth="1"/>
    <col min="4" max="4" width="18.33203125" style="711" customWidth="1"/>
    <col min="5" max="5" width="17.6640625" style="711" customWidth="1"/>
    <col min="6" max="6" width="33.21875" style="711" hidden="1" customWidth="1"/>
    <col min="7" max="7" width="33.21875" style="711" customWidth="1"/>
    <col min="8" max="8" width="5.33203125" style="711" customWidth="1"/>
    <col min="9" max="9" width="18.77734375" style="711" customWidth="1"/>
    <col min="10" max="10" width="17.21875" style="711" customWidth="1"/>
    <col min="11" max="11" width="33.21875" style="711" customWidth="1"/>
    <col min="12" max="13" width="33.21875" style="711" hidden="1" customWidth="1"/>
    <col min="14" max="14" width="0" style="711" hidden="1" customWidth="1"/>
    <col min="15" max="15" width="12.109375" style="711" hidden="1" customWidth="1"/>
    <col min="16" max="16" width="15.109375" style="711" hidden="1" customWidth="1"/>
    <col min="17" max="21" width="0" style="711" hidden="1" customWidth="1"/>
    <col min="22" max="16384" width="9.21875" style="711"/>
  </cols>
  <sheetData>
    <row r="2" spans="2:13">
      <c r="B2" s="710"/>
      <c r="D2" s="712" t="s">
        <v>1269</v>
      </c>
      <c r="M2" s="765"/>
    </row>
    <row r="3" spans="2:13">
      <c r="B3" s="713"/>
      <c r="D3" s="1035" t="s">
        <v>1270</v>
      </c>
    </row>
    <row r="4" spans="2:13" ht="13.5" thickBot="1">
      <c r="B4" s="713"/>
    </row>
    <row r="5" spans="2:13" ht="42.75" customHeight="1">
      <c r="B5" s="714" t="s">
        <v>1271</v>
      </c>
      <c r="C5" s="715"/>
      <c r="D5" s="1158" t="s">
        <v>1272</v>
      </c>
      <c r="E5" s="1159"/>
      <c r="F5" s="1061" t="s">
        <v>1273</v>
      </c>
      <c r="G5" s="1062" t="s">
        <v>1274</v>
      </c>
      <c r="H5" s="717"/>
      <c r="I5" s="1160" t="s">
        <v>1275</v>
      </c>
      <c r="J5" s="1161"/>
      <c r="K5" s="718" t="s">
        <v>1276</v>
      </c>
      <c r="L5" s="718" t="s">
        <v>1277</v>
      </c>
      <c r="M5" s="719" t="s">
        <v>1278</v>
      </c>
    </row>
    <row r="6" spans="2:13" ht="23.25" customHeight="1">
      <c r="B6" s="720" t="s">
        <v>1279</v>
      </c>
      <c r="C6" s="721"/>
      <c r="D6" s="1162"/>
      <c r="E6" s="1163"/>
      <c r="F6" s="1009"/>
      <c r="G6" s="1050"/>
      <c r="H6" s="723"/>
      <c r="I6" s="1164"/>
      <c r="J6" s="1165"/>
      <c r="K6" s="722"/>
      <c r="L6" s="722"/>
      <c r="M6" s="725"/>
    </row>
    <row r="7" spans="2:13" ht="23.25" customHeight="1">
      <c r="B7" s="726" t="s">
        <v>1280</v>
      </c>
      <c r="C7" s="727"/>
      <c r="D7" s="1166">
        <v>0</v>
      </c>
      <c r="E7" s="1167"/>
      <c r="F7" s="1010">
        <v>250</v>
      </c>
      <c r="G7" s="1051">
        <v>200</v>
      </c>
      <c r="H7" s="729"/>
      <c r="I7" s="1168">
        <v>300</v>
      </c>
      <c r="J7" s="1169"/>
      <c r="K7" s="1036">
        <v>400</v>
      </c>
      <c r="L7" s="728">
        <v>400</v>
      </c>
      <c r="M7" s="730">
        <v>400</v>
      </c>
    </row>
    <row r="8" spans="2:13" ht="23.25" customHeight="1">
      <c r="B8" s="726" t="s">
        <v>1281</v>
      </c>
      <c r="C8" s="727"/>
      <c r="D8" s="1166">
        <v>0</v>
      </c>
      <c r="E8" s="1167"/>
      <c r="F8" s="1010">
        <v>750</v>
      </c>
      <c r="G8" s="1052">
        <v>600</v>
      </c>
      <c r="H8" s="729"/>
      <c r="I8" s="1168">
        <v>900</v>
      </c>
      <c r="J8" s="1169"/>
      <c r="K8" s="1036">
        <f>K7*3</f>
        <v>1200</v>
      </c>
      <c r="L8" s="728">
        <f>L7*3</f>
        <v>1200</v>
      </c>
      <c r="M8" s="730">
        <f>M7*3</f>
        <v>1200</v>
      </c>
    </row>
    <row r="9" spans="2:13" ht="23.25" customHeight="1">
      <c r="B9" s="731" t="s">
        <v>1282</v>
      </c>
      <c r="C9" s="721"/>
      <c r="D9" s="1170"/>
      <c r="E9" s="1171"/>
      <c r="F9" s="1011"/>
      <c r="G9" s="1053"/>
      <c r="H9" s="723"/>
      <c r="I9" s="1172"/>
      <c r="J9" s="1173"/>
      <c r="K9" s="732"/>
      <c r="L9" s="732"/>
      <c r="M9" s="734"/>
    </row>
    <row r="10" spans="2:13" ht="23.25" customHeight="1">
      <c r="B10" s="726" t="s">
        <v>1280</v>
      </c>
      <c r="C10" s="727"/>
      <c r="D10" s="1174">
        <v>1500</v>
      </c>
      <c r="E10" s="1175"/>
      <c r="F10" s="1010">
        <v>2500</v>
      </c>
      <c r="G10" s="1052">
        <v>2000</v>
      </c>
      <c r="H10" s="729"/>
      <c r="I10" s="1168">
        <v>2300</v>
      </c>
      <c r="J10" s="1169"/>
      <c r="K10" s="1036">
        <v>2800</v>
      </c>
      <c r="L10" s="728">
        <v>2500</v>
      </c>
      <c r="M10" s="1033">
        <v>2800</v>
      </c>
    </row>
    <row r="11" spans="2:13" ht="23.25" customHeight="1">
      <c r="B11" s="726" t="s">
        <v>1283</v>
      </c>
      <c r="C11" s="727"/>
      <c r="D11" s="1174">
        <v>3000</v>
      </c>
      <c r="E11" s="1175"/>
      <c r="F11" s="1010">
        <v>7500</v>
      </c>
      <c r="G11" s="1052">
        <v>4000</v>
      </c>
      <c r="H11" s="729"/>
      <c r="I11" s="1168">
        <v>6900</v>
      </c>
      <c r="J11" s="1169"/>
      <c r="K11" s="1036">
        <f>K10*3</f>
        <v>8400</v>
      </c>
      <c r="L11" s="728">
        <f>L10*3</f>
        <v>7500</v>
      </c>
      <c r="M11" s="1033">
        <f>M10*3</f>
        <v>8400</v>
      </c>
    </row>
    <row r="12" spans="2:13" ht="23.25" customHeight="1">
      <c r="B12" s="731" t="s">
        <v>1284</v>
      </c>
      <c r="C12" s="721"/>
      <c r="D12" s="1170"/>
      <c r="E12" s="1171"/>
      <c r="F12" s="1011"/>
      <c r="G12" s="1053"/>
      <c r="H12" s="723"/>
      <c r="I12" s="1172"/>
      <c r="J12" s="1173"/>
      <c r="K12" s="732"/>
      <c r="L12" s="732"/>
      <c r="M12" s="734"/>
    </row>
    <row r="13" spans="2:13" ht="23.25" customHeight="1">
      <c r="B13" s="735" t="s">
        <v>1285</v>
      </c>
      <c r="C13" s="736"/>
      <c r="D13" s="1176">
        <v>0</v>
      </c>
      <c r="E13" s="1177"/>
      <c r="F13" s="1012">
        <v>0</v>
      </c>
      <c r="G13" s="1054">
        <v>0</v>
      </c>
      <c r="H13" s="737"/>
      <c r="I13" s="1178">
        <v>0</v>
      </c>
      <c r="J13" s="1179"/>
      <c r="K13" s="738">
        <v>0</v>
      </c>
      <c r="L13" s="738">
        <v>0</v>
      </c>
      <c r="M13" s="739">
        <v>0</v>
      </c>
    </row>
    <row r="14" spans="2:13" ht="23.25" customHeight="1">
      <c r="B14" s="735" t="s">
        <v>1286</v>
      </c>
      <c r="C14" s="740"/>
      <c r="D14" s="1174">
        <v>20</v>
      </c>
      <c r="E14" s="1175"/>
      <c r="F14" s="1013">
        <v>15</v>
      </c>
      <c r="G14" s="1049">
        <v>20</v>
      </c>
      <c r="H14" s="742"/>
      <c r="I14" s="1180">
        <v>20</v>
      </c>
      <c r="J14" s="1181"/>
      <c r="K14" s="1037">
        <v>30</v>
      </c>
      <c r="L14" s="741">
        <v>25</v>
      </c>
      <c r="M14" s="745">
        <v>30</v>
      </c>
    </row>
    <row r="15" spans="2:13" ht="23.25" customHeight="1">
      <c r="B15" s="735" t="s">
        <v>1287</v>
      </c>
      <c r="C15" s="740"/>
      <c r="D15" s="1174">
        <v>20</v>
      </c>
      <c r="E15" s="1175"/>
      <c r="F15" s="1010">
        <v>25</v>
      </c>
      <c r="G15" s="1049">
        <v>20</v>
      </c>
      <c r="H15" s="742"/>
      <c r="I15" s="1180">
        <v>20</v>
      </c>
      <c r="J15" s="1181"/>
      <c r="K15" s="1037">
        <v>30</v>
      </c>
      <c r="L15" s="741">
        <v>25</v>
      </c>
      <c r="M15" s="745">
        <v>30</v>
      </c>
    </row>
    <row r="16" spans="2:13" ht="23.25" customHeight="1">
      <c r="B16" s="735" t="s">
        <v>1288</v>
      </c>
      <c r="C16" s="740"/>
      <c r="D16" s="1174">
        <v>40</v>
      </c>
      <c r="E16" s="1175"/>
      <c r="F16" s="1013">
        <v>35</v>
      </c>
      <c r="G16" s="1049">
        <v>40</v>
      </c>
      <c r="H16" s="742"/>
      <c r="I16" s="1180">
        <v>20</v>
      </c>
      <c r="J16" s="1181"/>
      <c r="K16" s="1037">
        <v>30</v>
      </c>
      <c r="L16" s="741">
        <v>35</v>
      </c>
      <c r="M16" s="745">
        <v>40</v>
      </c>
    </row>
    <row r="17" spans="2:20" ht="23.25" customHeight="1">
      <c r="B17" s="731" t="s">
        <v>1289</v>
      </c>
      <c r="C17" s="721"/>
      <c r="D17" s="1170"/>
      <c r="E17" s="1171"/>
      <c r="F17" s="1011"/>
      <c r="G17" s="1053"/>
      <c r="H17" s="723"/>
      <c r="I17" s="1172"/>
      <c r="J17" s="1173"/>
      <c r="K17" s="732"/>
      <c r="L17" s="732"/>
      <c r="M17" s="734"/>
      <c r="O17" s="711" t="s">
        <v>1290</v>
      </c>
      <c r="P17" s="711">
        <f>177*200</f>
        <v>35400</v>
      </c>
      <c r="Q17" s="746">
        <f>P17/J42</f>
        <v>3.0331379799940208E-3</v>
      </c>
    </row>
    <row r="18" spans="2:20" ht="23.25" customHeight="1">
      <c r="B18" s="735" t="s">
        <v>1291</v>
      </c>
      <c r="C18" s="747"/>
      <c r="D18" s="1182" t="s">
        <v>1292</v>
      </c>
      <c r="E18" s="1183"/>
      <c r="F18" s="1014" t="s">
        <v>1293</v>
      </c>
      <c r="G18" s="1052" t="s">
        <v>1294</v>
      </c>
      <c r="H18" s="749"/>
      <c r="I18" s="1184">
        <v>0.2</v>
      </c>
      <c r="J18" s="1185"/>
      <c r="K18" s="748">
        <v>0.2</v>
      </c>
      <c r="L18" s="748">
        <v>0.2</v>
      </c>
      <c r="M18" s="751">
        <v>0.2</v>
      </c>
      <c r="O18" s="711" t="s">
        <v>1295</v>
      </c>
      <c r="Q18" s="752">
        <v>5.0000000000000001E-3</v>
      </c>
    </row>
    <row r="19" spans="2:20" ht="23.25" customHeight="1">
      <c r="B19" s="735" t="s">
        <v>1296</v>
      </c>
      <c r="C19" s="747"/>
      <c r="D19" s="1182" t="s">
        <v>1292</v>
      </c>
      <c r="E19" s="1183"/>
      <c r="F19" s="1015" t="s">
        <v>1297</v>
      </c>
      <c r="G19" s="1052" t="s">
        <v>1294</v>
      </c>
      <c r="H19" s="749"/>
      <c r="I19" s="1184">
        <v>0.2</v>
      </c>
      <c r="J19" s="1185"/>
      <c r="K19" s="748">
        <v>0.2</v>
      </c>
      <c r="L19" s="748">
        <v>0.2</v>
      </c>
      <c r="M19" s="751">
        <v>0.2</v>
      </c>
    </row>
    <row r="20" spans="2:20" ht="23.25" customHeight="1">
      <c r="B20" s="731" t="s">
        <v>1298</v>
      </c>
      <c r="C20" s="721"/>
      <c r="D20" s="1170"/>
      <c r="E20" s="1171"/>
      <c r="F20" s="1011"/>
      <c r="G20" s="1053"/>
      <c r="H20" s="723"/>
      <c r="I20" s="1172"/>
      <c r="J20" s="1173"/>
      <c r="K20" s="732"/>
      <c r="L20" s="732"/>
      <c r="M20" s="734"/>
      <c r="P20" s="711" t="s">
        <v>1299</v>
      </c>
      <c r="R20" s="753">
        <v>9.2999999999999999E-2</v>
      </c>
    </row>
    <row r="21" spans="2:20" ht="23.25" customHeight="1">
      <c r="B21" s="735" t="s">
        <v>1300</v>
      </c>
      <c r="C21" s="727"/>
      <c r="D21" s="1174">
        <v>75</v>
      </c>
      <c r="E21" s="1175"/>
      <c r="F21" s="1010" t="s">
        <v>1301</v>
      </c>
      <c r="G21" s="1052" t="s">
        <v>1301</v>
      </c>
      <c r="H21" s="729"/>
      <c r="I21" s="1186">
        <v>0.2</v>
      </c>
      <c r="J21" s="1187"/>
      <c r="K21" s="754">
        <v>0.2</v>
      </c>
      <c r="L21" s="754">
        <v>0.2</v>
      </c>
      <c r="M21" s="755">
        <v>0.2</v>
      </c>
      <c r="R21" s="753"/>
    </row>
    <row r="22" spans="2:20" ht="23.25" customHeight="1">
      <c r="B22" s="735" t="s">
        <v>1302</v>
      </c>
      <c r="C22" s="727"/>
      <c r="D22" s="1174">
        <v>100</v>
      </c>
      <c r="E22" s="1175"/>
      <c r="F22" s="1010" t="s">
        <v>1301</v>
      </c>
      <c r="G22" s="1052">
        <v>200</v>
      </c>
      <c r="H22" s="729"/>
      <c r="I22" s="1168" t="s">
        <v>1303</v>
      </c>
      <c r="J22" s="1169"/>
      <c r="K22" s="756" t="s">
        <v>1303</v>
      </c>
      <c r="L22" s="756" t="s">
        <v>1303</v>
      </c>
      <c r="M22" s="757" t="s">
        <v>1303</v>
      </c>
      <c r="R22" s="711" t="s">
        <v>1304</v>
      </c>
      <c r="S22" s="711" t="s">
        <v>1305</v>
      </c>
      <c r="T22" s="711" t="s">
        <v>1306</v>
      </c>
    </row>
    <row r="23" spans="2:20" ht="33" customHeight="1">
      <c r="B23" s="735" t="s">
        <v>1307</v>
      </c>
      <c r="C23" s="747"/>
      <c r="D23" s="1176" t="s">
        <v>1308</v>
      </c>
      <c r="E23" s="1177"/>
      <c r="F23" s="1010" t="s">
        <v>1301</v>
      </c>
      <c r="G23" s="1052" t="s">
        <v>1294</v>
      </c>
      <c r="H23" s="749"/>
      <c r="I23" s="1188">
        <v>0.2</v>
      </c>
      <c r="J23" s="1189"/>
      <c r="K23" s="759">
        <v>0.2</v>
      </c>
      <c r="L23" s="759">
        <v>0.2</v>
      </c>
      <c r="M23" s="760">
        <v>0.2</v>
      </c>
      <c r="P23" s="761" t="s">
        <v>1309</v>
      </c>
      <c r="R23" s="753"/>
      <c r="S23" s="762"/>
      <c r="T23" s="753"/>
    </row>
    <row r="24" spans="2:20" ht="23.25" customHeight="1">
      <c r="B24" s="731" t="s">
        <v>1310</v>
      </c>
      <c r="C24" s="721"/>
      <c r="D24" s="1170"/>
      <c r="E24" s="1171"/>
      <c r="F24" s="1011"/>
      <c r="G24" s="1053"/>
      <c r="H24" s="723"/>
      <c r="I24" s="1172"/>
      <c r="J24" s="1173"/>
      <c r="K24" s="732"/>
      <c r="L24" s="732"/>
      <c r="M24" s="734"/>
      <c r="P24" s="761" t="s">
        <v>1311</v>
      </c>
      <c r="R24" s="753"/>
      <c r="S24" s="763"/>
      <c r="T24" s="764"/>
    </row>
    <row r="25" spans="2:20" ht="23.25" customHeight="1">
      <c r="B25" s="735" t="s">
        <v>1312</v>
      </c>
      <c r="C25" s="747"/>
      <c r="D25" s="1174">
        <v>50</v>
      </c>
      <c r="E25" s="1175"/>
      <c r="F25" s="1010" t="s">
        <v>1301</v>
      </c>
      <c r="G25" s="1052" t="s">
        <v>1294</v>
      </c>
      <c r="H25" s="749"/>
      <c r="I25" s="1184">
        <v>0.2</v>
      </c>
      <c r="J25" s="1185"/>
      <c r="K25" s="748">
        <v>0.2</v>
      </c>
      <c r="L25" s="748">
        <v>0.2</v>
      </c>
      <c r="M25" s="751">
        <v>0.2</v>
      </c>
      <c r="P25" s="763">
        <v>400</v>
      </c>
      <c r="R25" s="764"/>
      <c r="S25" s="765"/>
      <c r="T25" s="764"/>
    </row>
    <row r="26" spans="2:20" ht="23.25" customHeight="1">
      <c r="B26" s="735" t="s">
        <v>1313</v>
      </c>
      <c r="C26" s="747"/>
      <c r="D26" s="1176">
        <v>0.2</v>
      </c>
      <c r="E26" s="1177"/>
      <c r="F26" s="1010" t="s">
        <v>1301</v>
      </c>
      <c r="G26" s="1052" t="s">
        <v>1294</v>
      </c>
      <c r="H26" s="749"/>
      <c r="I26" s="1184">
        <v>0.2</v>
      </c>
      <c r="J26" s="1185"/>
      <c r="K26" s="748">
        <v>0.2</v>
      </c>
      <c r="L26" s="748">
        <v>0.2</v>
      </c>
      <c r="M26" s="751">
        <v>0.2</v>
      </c>
      <c r="P26" s="763">
        <v>2500</v>
      </c>
      <c r="R26" s="766"/>
      <c r="S26" s="767"/>
      <c r="T26" s="766"/>
    </row>
    <row r="27" spans="2:20" ht="23.25" customHeight="1">
      <c r="B27" s="731" t="s">
        <v>1314</v>
      </c>
      <c r="C27" s="721"/>
      <c r="D27" s="1170"/>
      <c r="E27" s="1171"/>
      <c r="F27" s="1011"/>
      <c r="G27" s="1053"/>
      <c r="H27" s="723"/>
      <c r="I27" s="1172"/>
      <c r="J27" s="1173"/>
      <c r="K27" s="732"/>
      <c r="L27" s="732"/>
      <c r="M27" s="734"/>
      <c r="P27" s="768" t="s">
        <v>1315</v>
      </c>
      <c r="Q27" s="768"/>
      <c r="R27" s="769">
        <v>-0.02</v>
      </c>
      <c r="S27" s="769">
        <v>-2.1999999999999999E-2</v>
      </c>
      <c r="T27" s="769">
        <v>-2.3E-2</v>
      </c>
    </row>
    <row r="28" spans="2:20" ht="25.9" customHeight="1">
      <c r="B28" s="735" t="s">
        <v>1316</v>
      </c>
      <c r="C28" s="740"/>
      <c r="D28" s="1174" t="s">
        <v>1317</v>
      </c>
      <c r="E28" s="1175"/>
      <c r="F28" s="1016" t="s">
        <v>1318</v>
      </c>
      <c r="G28" s="1049" t="s">
        <v>1317</v>
      </c>
      <c r="H28" s="742"/>
      <c r="I28" s="1190" t="s">
        <v>1319</v>
      </c>
      <c r="J28" s="1191"/>
      <c r="K28" s="1037" t="s">
        <v>1320</v>
      </c>
      <c r="L28" s="770" t="s">
        <v>1319</v>
      </c>
      <c r="M28" s="745" t="s">
        <v>1317</v>
      </c>
    </row>
    <row r="29" spans="2:20" ht="27.75" customHeight="1">
      <c r="B29" s="735" t="s">
        <v>1321</v>
      </c>
      <c r="C29" s="740"/>
      <c r="D29" s="1174" t="s">
        <v>1317</v>
      </c>
      <c r="E29" s="1175"/>
      <c r="F29" s="1016" t="s">
        <v>1318</v>
      </c>
      <c r="G29" s="1049" t="s">
        <v>1317</v>
      </c>
      <c r="H29" s="742"/>
      <c r="I29" s="1190" t="s">
        <v>1319</v>
      </c>
      <c r="J29" s="1191"/>
      <c r="K29" s="1037" t="s">
        <v>1320</v>
      </c>
      <c r="L29" s="770" t="s">
        <v>1319</v>
      </c>
      <c r="M29" s="745" t="s">
        <v>1317</v>
      </c>
      <c r="P29" s="753"/>
      <c r="R29" s="753"/>
      <c r="T29" s="753"/>
    </row>
    <row r="30" spans="2:20" ht="30" hidden="1" customHeight="1">
      <c r="B30" s="735" t="s">
        <v>1322</v>
      </c>
      <c r="C30" s="740"/>
      <c r="D30" s="1174" t="s">
        <v>1323</v>
      </c>
      <c r="E30" s="1175"/>
      <c r="F30" s="1016" t="s">
        <v>1323</v>
      </c>
      <c r="G30" s="1016" t="s">
        <v>1323</v>
      </c>
      <c r="H30" s="742"/>
      <c r="I30" s="1190" t="s">
        <v>1319</v>
      </c>
      <c r="J30" s="1191"/>
      <c r="K30" s="1037" t="s">
        <v>1320</v>
      </c>
      <c r="L30" s="770" t="s">
        <v>1319</v>
      </c>
      <c r="M30" s="745" t="s">
        <v>1317</v>
      </c>
      <c r="P30" s="711">
        <v>1.2</v>
      </c>
      <c r="Q30" s="711">
        <f>P30+S31</f>
        <v>2.1800000000000002</v>
      </c>
    </row>
    <row r="31" spans="2:20" ht="23.25" customHeight="1">
      <c r="B31" s="774" t="s">
        <v>1324</v>
      </c>
      <c r="C31" s="721"/>
      <c r="D31" s="1192"/>
      <c r="E31" s="1193"/>
      <c r="F31" s="1017"/>
      <c r="G31" s="1017"/>
      <c r="H31" s="723"/>
      <c r="I31" s="1172"/>
      <c r="J31" s="1173"/>
      <c r="K31" s="775"/>
      <c r="L31" s="775"/>
      <c r="M31" s="776"/>
      <c r="P31" s="711">
        <v>3.16</v>
      </c>
      <c r="Q31" s="711">
        <f>P31-P30</f>
        <v>1.9600000000000002</v>
      </c>
      <c r="R31" s="711">
        <f>Q31/400</f>
        <v>4.9000000000000007E-3</v>
      </c>
      <c r="S31" s="711">
        <f>R31*200</f>
        <v>0.98000000000000009</v>
      </c>
    </row>
    <row r="32" spans="2:20" ht="23.25" customHeight="1">
      <c r="B32" s="777" t="s">
        <v>1325</v>
      </c>
      <c r="C32" s="770"/>
      <c r="D32" s="1174">
        <v>15</v>
      </c>
      <c r="E32" s="1175"/>
      <c r="F32" s="1016">
        <v>15</v>
      </c>
      <c r="G32" s="1049">
        <v>15</v>
      </c>
      <c r="H32" s="772"/>
      <c r="I32" s="1190">
        <v>10</v>
      </c>
      <c r="J32" s="1191"/>
      <c r="K32" s="770">
        <v>10</v>
      </c>
      <c r="L32" s="770">
        <v>10</v>
      </c>
      <c r="M32" s="773">
        <v>10</v>
      </c>
      <c r="P32" s="768">
        <v>4.53</v>
      </c>
      <c r="Q32" s="711">
        <f>P32-P31</f>
        <v>1.37</v>
      </c>
      <c r="R32" s="778"/>
    </row>
    <row r="33" spans="2:18" ht="23.25" customHeight="1">
      <c r="B33" s="777" t="s">
        <v>1326</v>
      </c>
      <c r="C33" s="770"/>
      <c r="D33" s="1166">
        <v>30</v>
      </c>
      <c r="E33" s="1167"/>
      <c r="F33" s="1018">
        <v>30</v>
      </c>
      <c r="G33" s="1055">
        <v>30</v>
      </c>
      <c r="H33" s="772"/>
      <c r="I33" s="1180">
        <v>30</v>
      </c>
      <c r="J33" s="1181"/>
      <c r="K33" s="744">
        <v>30</v>
      </c>
      <c r="L33" s="744">
        <v>30</v>
      </c>
      <c r="M33" s="779">
        <v>30</v>
      </c>
      <c r="P33" s="711">
        <v>5.85</v>
      </c>
      <c r="Q33" s="711">
        <f>P33-P32</f>
        <v>1.3199999999999994</v>
      </c>
    </row>
    <row r="34" spans="2:18" ht="23.25" customHeight="1">
      <c r="B34" s="780" t="s">
        <v>1327</v>
      </c>
      <c r="C34" s="1044"/>
      <c r="D34" s="1198">
        <v>30</v>
      </c>
      <c r="E34" s="1199"/>
      <c r="F34" s="1045"/>
      <c r="G34" s="1056">
        <v>30</v>
      </c>
      <c r="H34" s="1046"/>
      <c r="I34" s="1198">
        <v>60</v>
      </c>
      <c r="J34" s="1199"/>
      <c r="K34" s="1047">
        <v>60</v>
      </c>
      <c r="L34" s="1047"/>
      <c r="M34" s="1048"/>
    </row>
    <row r="35" spans="2:18" ht="23.25" customHeight="1" thickBot="1">
      <c r="B35" s="780" t="s">
        <v>1328</v>
      </c>
      <c r="C35" s="781"/>
      <c r="D35" s="1194" t="s">
        <v>1329</v>
      </c>
      <c r="E35" s="1195"/>
      <c r="F35" s="782" t="s">
        <v>1329</v>
      </c>
      <c r="G35" s="782" t="s">
        <v>1329</v>
      </c>
      <c r="H35" s="783"/>
      <c r="I35" s="1196" t="s">
        <v>1329</v>
      </c>
      <c r="J35" s="1197"/>
      <c r="K35" s="1038">
        <v>100</v>
      </c>
      <c r="L35" s="782" t="s">
        <v>1329</v>
      </c>
      <c r="M35" s="784" t="s">
        <v>1329</v>
      </c>
    </row>
    <row r="36" spans="2:18" ht="33" customHeight="1" thickBot="1">
      <c r="B36" s="785"/>
      <c r="C36" s="786" t="s">
        <v>1330</v>
      </c>
      <c r="D36" s="787">
        <v>2024</v>
      </c>
      <c r="E36" s="788">
        <v>2025</v>
      </c>
      <c r="F36" s="789" t="s">
        <v>1331</v>
      </c>
      <c r="G36" s="789" t="s">
        <v>1332</v>
      </c>
      <c r="H36" s="790" t="s">
        <v>1333</v>
      </c>
      <c r="I36" s="791">
        <v>2024</v>
      </c>
      <c r="J36" s="792">
        <v>2025</v>
      </c>
      <c r="K36" s="793" t="s">
        <v>1332</v>
      </c>
      <c r="L36" s="793" t="s">
        <v>1334</v>
      </c>
      <c r="M36" s="794" t="s">
        <v>1335</v>
      </c>
    </row>
    <row r="37" spans="2:18">
      <c r="B37" s="795" t="s">
        <v>1336</v>
      </c>
      <c r="C37" s="796">
        <v>85</v>
      </c>
      <c r="D37" s="1059">
        <v>862.83</v>
      </c>
      <c r="E37" s="798">
        <v>904.9</v>
      </c>
      <c r="F37" s="1007">
        <v>808.47</v>
      </c>
      <c r="G37" s="1057">
        <v>859.29</v>
      </c>
      <c r="H37" s="799">
        <v>145</v>
      </c>
      <c r="I37" s="797">
        <v>956.55</v>
      </c>
      <c r="J37" s="798">
        <f>I37*(1+9.63%)</f>
        <v>1048.665765</v>
      </c>
      <c r="K37" s="800">
        <f>SUM(I37*(1+(9.63%-4.81%)))</f>
        <v>1002.65571</v>
      </c>
      <c r="L37" s="800">
        <f>SUM(I37*(1+(9.63%-2.2%)))</f>
        <v>1027.6216649999999</v>
      </c>
      <c r="M37" s="800">
        <f>SUM(I37*(1+(9.63%-2.3%)))</f>
        <v>1026.6651149999998</v>
      </c>
    </row>
    <row r="38" spans="2:18">
      <c r="B38" s="801" t="s">
        <v>1337</v>
      </c>
      <c r="C38" s="796">
        <v>43</v>
      </c>
      <c r="D38" s="1060">
        <v>1725.74</v>
      </c>
      <c r="E38" s="803">
        <v>1809.9</v>
      </c>
      <c r="F38" s="1008">
        <v>1617.02</v>
      </c>
      <c r="G38" s="1058">
        <v>1718.66</v>
      </c>
      <c r="H38" s="805">
        <v>91</v>
      </c>
      <c r="I38" s="802">
        <v>2010.08</v>
      </c>
      <c r="J38" s="798">
        <f>I38*(1+9.63%)</f>
        <v>2203.6507040000001</v>
      </c>
      <c r="K38" s="800">
        <f>SUM(I38*(1+(9.63%-4.81%)))</f>
        <v>2106.9658559999998</v>
      </c>
      <c r="L38" s="800">
        <f>SUM(I38*(1+(9.63%-2.2%)))</f>
        <v>2159.4289439999998</v>
      </c>
      <c r="M38" s="800">
        <f>SUM(I38*(1+(9.63%-2.3%)))</f>
        <v>2157.4188639999998</v>
      </c>
      <c r="O38" s="806"/>
    </row>
    <row r="39" spans="2:18">
      <c r="B39" s="801" t="s">
        <v>1338</v>
      </c>
      <c r="C39" s="796">
        <v>29</v>
      </c>
      <c r="D39" s="1060">
        <v>1553.26</v>
      </c>
      <c r="E39" s="803">
        <v>1629.01</v>
      </c>
      <c r="F39" s="1008">
        <v>1455.41</v>
      </c>
      <c r="G39" s="1058">
        <v>1546.89</v>
      </c>
      <c r="H39" s="805">
        <v>35</v>
      </c>
      <c r="I39" s="802">
        <v>1723.03</v>
      </c>
      <c r="J39" s="798">
        <f>I39*(1+9.63%)</f>
        <v>1888.957789</v>
      </c>
      <c r="K39" s="800">
        <f>SUM(I39*(1+(9.63%-4.81%)))</f>
        <v>1806.080046</v>
      </c>
      <c r="L39" s="800">
        <f>SUM(I39*(1+(9.63%-2.2%)))</f>
        <v>1851.0511289999999</v>
      </c>
      <c r="M39" s="800">
        <f>SUM(I39*(1+(9.63%-2.3%)))</f>
        <v>1849.3280989999998</v>
      </c>
      <c r="O39" s="806"/>
      <c r="R39" s="753"/>
    </row>
    <row r="40" spans="2:18">
      <c r="B40" s="801" t="s">
        <v>1339</v>
      </c>
      <c r="C40" s="796">
        <v>84</v>
      </c>
      <c r="D40" s="1060">
        <v>2588.9899999999998</v>
      </c>
      <c r="E40" s="803">
        <v>2715.25</v>
      </c>
      <c r="F40" s="1008">
        <v>2425.89</v>
      </c>
      <c r="G40" s="1058">
        <v>2578.38</v>
      </c>
      <c r="H40" s="807">
        <v>182</v>
      </c>
      <c r="I40" s="802">
        <v>2776.01</v>
      </c>
      <c r="J40" s="798">
        <f>I40*(1+9.63%)</f>
        <v>3043.3397630000004</v>
      </c>
      <c r="K40" s="800">
        <f>SUM(I40*(1+(9.63%-4.81%)))</f>
        <v>2909.8136820000004</v>
      </c>
      <c r="L40" s="800">
        <f>SUM(I40*(1+(9.63%-2.2%)))</f>
        <v>2982.2675430000004</v>
      </c>
      <c r="M40" s="800">
        <f>SUM(I40*(1+(9.63%-2.3%)))</f>
        <v>2979.4915329999999</v>
      </c>
      <c r="R40" s="753"/>
    </row>
    <row r="41" spans="2:18">
      <c r="B41" s="801"/>
      <c r="C41" s="808">
        <f>SUM(C37:C40)</f>
        <v>241</v>
      </c>
      <c r="D41" s="802"/>
      <c r="E41" s="803"/>
      <c r="F41" s="804"/>
      <c r="G41" s="804"/>
      <c r="H41" s="807">
        <f>SUM(H37:H40)</f>
        <v>453</v>
      </c>
      <c r="I41" s="802"/>
      <c r="J41" s="803"/>
      <c r="K41" s="809"/>
      <c r="L41" s="809"/>
      <c r="M41" s="810"/>
    </row>
    <row r="42" spans="2:18">
      <c r="B42" s="811" t="s">
        <v>1340</v>
      </c>
      <c r="C42" s="812"/>
      <c r="D42" s="813">
        <f>((C37*D37)+(C38*D38)+(C39*D39)+(C40*D40))*12</f>
        <v>4920804.84</v>
      </c>
      <c r="E42" s="814">
        <f>((C37*E37)+(C38*E38)+(C39*E39)+(C40*E40))*12</f>
        <v>5160773.88</v>
      </c>
      <c r="F42" s="815">
        <f>((C37*F37)+(C38*F38)+(C39*F39)+(C40*F40))*12</f>
        <v>4610801.5199999996</v>
      </c>
      <c r="G42" s="815">
        <f>((C37*G37)+(C38*G38)+(C39*G39)+(C40*G40))*12</f>
        <v>4900629.12</v>
      </c>
      <c r="H42" s="816"/>
      <c r="I42" s="813">
        <f>((H37*I37)+(H38*I38)+(H39*I39)+(H40*I40))*12</f>
        <v>10645882.800000001</v>
      </c>
      <c r="J42" s="814">
        <f>(($H$37*J37)+($H$38*J38)+($H$39*J39)+($H$40*J40))*12</f>
        <v>11671081.313640002</v>
      </c>
      <c r="K42" s="814">
        <f>(($H$37*K37)+($H$38*K38)+($H$39*K39)+($H$40*K40))*12</f>
        <v>11159014.350960001</v>
      </c>
      <c r="L42" s="815">
        <f>(($H$37*L37)+($H$38*L38)+($H$39*L39)+($H$40*L40))*12</f>
        <v>11436871.892040001</v>
      </c>
      <c r="M42" s="817">
        <f>(($H$37*M37)+($H$38*M38)+($H$39*M39)+($H$40*M40))*12</f>
        <v>11426226.00924</v>
      </c>
    </row>
    <row r="43" spans="2:18">
      <c r="B43" s="818" t="s">
        <v>1341</v>
      </c>
      <c r="C43" s="812"/>
      <c r="D43" s="819"/>
      <c r="E43" s="820">
        <f>E42-D42</f>
        <v>239969.04000000004</v>
      </c>
      <c r="F43" s="821">
        <f>F42-D42</f>
        <v>-310003.3200000003</v>
      </c>
      <c r="G43" s="821">
        <f>G42-D42</f>
        <v>-20175.719999999739</v>
      </c>
      <c r="H43" s="816"/>
      <c r="I43" s="819"/>
      <c r="J43" s="1039">
        <f>J42-$I$42</f>
        <v>1025198.5136400014</v>
      </c>
      <c r="K43" s="1040">
        <f>K42-$I$42</f>
        <v>513131.5509600006</v>
      </c>
      <c r="L43" s="821">
        <f>L42-$I$42</f>
        <v>790989.09204000048</v>
      </c>
      <c r="M43" s="822">
        <f>M42-$I$42</f>
        <v>780343.20923999883</v>
      </c>
    </row>
    <row r="44" spans="2:18" ht="13.5" thickBot="1">
      <c r="B44" s="823" t="s">
        <v>1342</v>
      </c>
      <c r="C44" s="824"/>
      <c r="D44" s="825"/>
      <c r="E44" s="826">
        <f>E42/D42-1</f>
        <v>4.8766217682390423E-2</v>
      </c>
      <c r="F44" s="827">
        <f>SUM(F42/D42)-1</f>
        <v>-6.2998499245501494E-2</v>
      </c>
      <c r="G44" s="827">
        <f>SUM(G42/D42)-1</f>
        <v>-4.1000853835934103E-3</v>
      </c>
      <c r="H44" s="828"/>
      <c r="I44" s="829"/>
      <c r="J44" s="826">
        <f>J42/I42-1</f>
        <v>9.6300000000000052E-2</v>
      </c>
      <c r="K44" s="827">
        <f>K42/I42-1</f>
        <v>4.8200000000000021E-2</v>
      </c>
      <c r="L44" s="827">
        <f>L42/I42-1</f>
        <v>7.4300000000000033E-2</v>
      </c>
      <c r="M44" s="830">
        <f>M42/I42-1</f>
        <v>7.3299999999999921E-2</v>
      </c>
    </row>
    <row r="45" spans="2:18">
      <c r="C45" s="831"/>
      <c r="D45" s="831"/>
      <c r="K45" s="832"/>
      <c r="L45" s="832"/>
      <c r="M45" s="832"/>
    </row>
    <row r="46" spans="2:18">
      <c r="C46" s="833"/>
      <c r="D46" s="831"/>
      <c r="L46" s="1041"/>
    </row>
    <row r="47" spans="2:18">
      <c r="C47" s="833"/>
      <c r="D47" s="831"/>
    </row>
    <row r="48" spans="2:18">
      <c r="C48" s="833"/>
      <c r="D48" s="831"/>
    </row>
    <row r="49" spans="3:4">
      <c r="C49" s="834"/>
      <c r="D49" s="831"/>
    </row>
  </sheetData>
  <mergeCells count="62">
    <mergeCell ref="D32:E32"/>
    <mergeCell ref="I32:J32"/>
    <mergeCell ref="D33:E33"/>
    <mergeCell ref="I33:J33"/>
    <mergeCell ref="D35:E35"/>
    <mergeCell ref="I35:J35"/>
    <mergeCell ref="D34:E34"/>
    <mergeCell ref="I34:J34"/>
    <mergeCell ref="D29:E29"/>
    <mergeCell ref="I29:J29"/>
    <mergeCell ref="D30:E30"/>
    <mergeCell ref="I30:J30"/>
    <mergeCell ref="D31:E31"/>
    <mergeCell ref="I31:J31"/>
    <mergeCell ref="D26:E26"/>
    <mergeCell ref="I26:J26"/>
    <mergeCell ref="D27:E27"/>
    <mergeCell ref="I27:J27"/>
    <mergeCell ref="D28:E28"/>
    <mergeCell ref="I28:J28"/>
    <mergeCell ref="D23:E23"/>
    <mergeCell ref="I23:J23"/>
    <mergeCell ref="D24:E24"/>
    <mergeCell ref="I24:J24"/>
    <mergeCell ref="D25:E25"/>
    <mergeCell ref="I25:J25"/>
    <mergeCell ref="D20:E20"/>
    <mergeCell ref="I20:J20"/>
    <mergeCell ref="D21:E21"/>
    <mergeCell ref="I21:J21"/>
    <mergeCell ref="D22:E22"/>
    <mergeCell ref="I22:J22"/>
    <mergeCell ref="D17:E17"/>
    <mergeCell ref="I17:J17"/>
    <mergeCell ref="D18:E18"/>
    <mergeCell ref="I18:J18"/>
    <mergeCell ref="D19:E19"/>
    <mergeCell ref="I19:J19"/>
    <mergeCell ref="D14:E14"/>
    <mergeCell ref="I14:J14"/>
    <mergeCell ref="D15:E15"/>
    <mergeCell ref="I15:J15"/>
    <mergeCell ref="D16:E16"/>
    <mergeCell ref="I16:J16"/>
    <mergeCell ref="D11:E11"/>
    <mergeCell ref="I11:J11"/>
    <mergeCell ref="D12:E12"/>
    <mergeCell ref="I12:J12"/>
    <mergeCell ref="D13:E13"/>
    <mergeCell ref="I13:J13"/>
    <mergeCell ref="D8:E8"/>
    <mergeCell ref="I8:J8"/>
    <mergeCell ref="D9:E9"/>
    <mergeCell ref="I9:J9"/>
    <mergeCell ref="D10:E10"/>
    <mergeCell ref="I10:J10"/>
    <mergeCell ref="D5:E5"/>
    <mergeCell ref="I5:J5"/>
    <mergeCell ref="D6:E6"/>
    <mergeCell ref="I6:J6"/>
    <mergeCell ref="D7:E7"/>
    <mergeCell ref="I7:J7"/>
  </mergeCells>
  <pageMargins left="0.25" right="0.25" top="0.75" bottom="0.75" header="0.3" footer="0.3"/>
  <pageSetup orientation="landscape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4D865-B170-4770-9881-8EDF82BDB652}">
  <dimension ref="B2:T49"/>
  <sheetViews>
    <sheetView showGridLines="0" topLeftCell="B1" zoomScale="85" zoomScaleNormal="85" workbookViewId="0">
      <selection activeCell="G41" sqref="G41"/>
    </sheetView>
  </sheetViews>
  <sheetFormatPr defaultColWidth="9.21875" defaultRowHeight="12.75"/>
  <cols>
    <col min="1" max="1" width="9.21875" style="711"/>
    <col min="2" max="2" width="32.33203125" style="711" customWidth="1"/>
    <col min="3" max="3" width="5.21875" style="711" customWidth="1"/>
    <col min="4" max="4" width="18.33203125" style="711" customWidth="1"/>
    <col min="5" max="5" width="17.6640625" style="711" customWidth="1"/>
    <col min="6" max="6" width="33.21875" style="711" hidden="1" customWidth="1"/>
    <col min="7" max="7" width="33.21875" style="711" customWidth="1"/>
    <col min="8" max="8" width="5.33203125" style="711" customWidth="1"/>
    <col min="9" max="9" width="18.77734375" style="711" customWidth="1"/>
    <col min="10" max="10" width="17.21875" style="711" customWidth="1"/>
    <col min="11" max="11" width="33.21875" style="711" customWidth="1"/>
    <col min="12" max="13" width="33.21875" style="711" hidden="1" customWidth="1"/>
    <col min="14" max="14" width="0" style="711" hidden="1" customWidth="1"/>
    <col min="15" max="15" width="12.109375" style="711" hidden="1" customWidth="1"/>
    <col min="16" max="16" width="15.109375" style="711" hidden="1" customWidth="1"/>
    <col min="17" max="21" width="0" style="711" hidden="1" customWidth="1"/>
    <col min="22" max="16384" width="9.21875" style="711"/>
  </cols>
  <sheetData>
    <row r="2" spans="2:13">
      <c r="B2" s="710"/>
      <c r="D2" s="712" t="s">
        <v>1269</v>
      </c>
      <c r="M2" s="765"/>
    </row>
    <row r="3" spans="2:13">
      <c r="B3" s="713"/>
      <c r="D3" s="1035" t="s">
        <v>1270</v>
      </c>
    </row>
    <row r="4" spans="2:13">
      <c r="B4" s="713"/>
    </row>
    <row r="5" spans="2:13" ht="42.75" customHeight="1">
      <c r="B5" s="714" t="s">
        <v>1271</v>
      </c>
      <c r="C5" s="715"/>
      <c r="D5" s="1158" t="s">
        <v>1343</v>
      </c>
      <c r="E5" s="1159"/>
      <c r="F5" s="1117" t="s">
        <v>1273</v>
      </c>
      <c r="G5" s="1117" t="s">
        <v>1274</v>
      </c>
      <c r="H5" s="717"/>
      <c r="I5" s="1160" t="s">
        <v>1275</v>
      </c>
      <c r="J5" s="1161"/>
      <c r="K5" s="718" t="s">
        <v>1276</v>
      </c>
      <c r="L5" s="718" t="s">
        <v>1277</v>
      </c>
      <c r="M5" s="719" t="s">
        <v>1278</v>
      </c>
    </row>
    <row r="6" spans="2:13" ht="23.25" customHeight="1">
      <c r="B6" s="720" t="s">
        <v>1279</v>
      </c>
      <c r="C6" s="721"/>
      <c r="D6" s="1162"/>
      <c r="E6" s="1163"/>
      <c r="F6" s="722"/>
      <c r="G6" s="722"/>
      <c r="H6" s="723"/>
      <c r="I6" s="1164"/>
      <c r="J6" s="1165"/>
      <c r="K6" s="722"/>
      <c r="L6" s="722"/>
      <c r="M6" s="725"/>
    </row>
    <row r="7" spans="2:13" ht="23.25" customHeight="1">
      <c r="B7" s="1118" t="s">
        <v>1280</v>
      </c>
      <c r="C7" s="727"/>
      <c r="D7" s="1204">
        <v>1600</v>
      </c>
      <c r="E7" s="1205"/>
      <c r="F7" s="728">
        <v>250</v>
      </c>
      <c r="G7" s="738">
        <v>1600</v>
      </c>
      <c r="H7" s="729"/>
      <c r="I7" s="1168">
        <v>1600</v>
      </c>
      <c r="J7" s="1169"/>
      <c r="K7" s="738">
        <v>1600</v>
      </c>
      <c r="L7" s="728">
        <v>400</v>
      </c>
      <c r="M7" s="730">
        <v>400</v>
      </c>
    </row>
    <row r="8" spans="2:13" ht="23.25" customHeight="1">
      <c r="B8" s="1118" t="s">
        <v>1281</v>
      </c>
      <c r="C8" s="727"/>
      <c r="D8" s="1204">
        <v>3200</v>
      </c>
      <c r="E8" s="1205"/>
      <c r="F8" s="728">
        <v>750</v>
      </c>
      <c r="G8" s="738">
        <v>3200</v>
      </c>
      <c r="H8" s="729"/>
      <c r="I8" s="1168">
        <v>3200</v>
      </c>
      <c r="J8" s="1169"/>
      <c r="K8" s="738">
        <v>3200</v>
      </c>
      <c r="L8" s="728">
        <f>L7*3</f>
        <v>1200</v>
      </c>
      <c r="M8" s="730">
        <f>M7*3</f>
        <v>1200</v>
      </c>
    </row>
    <row r="9" spans="2:13" ht="23.25" customHeight="1">
      <c r="B9" s="731" t="s">
        <v>1282</v>
      </c>
      <c r="C9" s="721"/>
      <c r="D9" s="1170"/>
      <c r="E9" s="1171"/>
      <c r="F9" s="732"/>
      <c r="G9" s="732"/>
      <c r="H9" s="723"/>
      <c r="I9" s="1172"/>
      <c r="J9" s="1173"/>
      <c r="K9" s="732"/>
      <c r="L9" s="732"/>
      <c r="M9" s="734"/>
    </row>
    <row r="10" spans="2:13" ht="23.25" customHeight="1">
      <c r="B10" s="1118" t="s">
        <v>1280</v>
      </c>
      <c r="C10" s="727"/>
      <c r="D10" s="1202">
        <v>3425</v>
      </c>
      <c r="E10" s="1203"/>
      <c r="F10" s="728">
        <v>2500</v>
      </c>
      <c r="G10" s="1119">
        <v>4425</v>
      </c>
      <c r="H10" s="729"/>
      <c r="I10" s="1168">
        <v>5000</v>
      </c>
      <c r="J10" s="1169"/>
      <c r="K10" s="1036">
        <v>6000</v>
      </c>
      <c r="L10" s="728">
        <v>2500</v>
      </c>
      <c r="M10" s="1033">
        <v>2800</v>
      </c>
    </row>
    <row r="11" spans="2:13" ht="23.25" customHeight="1">
      <c r="B11" s="1118" t="s">
        <v>1283</v>
      </c>
      <c r="C11" s="727"/>
      <c r="D11" s="1202">
        <v>6850</v>
      </c>
      <c r="E11" s="1203"/>
      <c r="F11" s="728">
        <v>7500</v>
      </c>
      <c r="G11" s="1119">
        <v>8850</v>
      </c>
      <c r="H11" s="729"/>
      <c r="I11" s="1168">
        <v>10000</v>
      </c>
      <c r="J11" s="1169"/>
      <c r="K11" s="1036">
        <v>12000</v>
      </c>
      <c r="L11" s="728">
        <f>L10*3</f>
        <v>7500</v>
      </c>
      <c r="M11" s="1033">
        <f>M10*3</f>
        <v>8400</v>
      </c>
    </row>
    <row r="12" spans="2:13" ht="23.25" customHeight="1">
      <c r="B12" s="731" t="s">
        <v>1284</v>
      </c>
      <c r="C12" s="721"/>
      <c r="D12" s="1170"/>
      <c r="E12" s="1171"/>
      <c r="F12" s="732"/>
      <c r="G12" s="732"/>
      <c r="H12" s="723"/>
      <c r="I12" s="1172"/>
      <c r="J12" s="1173"/>
      <c r="K12" s="732"/>
      <c r="L12" s="732"/>
      <c r="M12" s="734"/>
    </row>
    <row r="13" spans="2:13" ht="23.25" customHeight="1">
      <c r="B13" s="1120" t="s">
        <v>1285</v>
      </c>
      <c r="C13" s="736"/>
      <c r="D13" s="1206" t="s">
        <v>1344</v>
      </c>
      <c r="E13" s="1208"/>
      <c r="F13" s="1121">
        <v>0</v>
      </c>
      <c r="G13" s="1121" t="s">
        <v>1344</v>
      </c>
      <c r="H13" s="737"/>
      <c r="I13" s="1178" t="s">
        <v>1344</v>
      </c>
      <c r="J13" s="1179"/>
      <c r="K13" s="738" t="s">
        <v>1344</v>
      </c>
      <c r="L13" s="738">
        <v>0</v>
      </c>
      <c r="M13" s="739">
        <v>0</v>
      </c>
    </row>
    <row r="14" spans="2:13" ht="23.25" customHeight="1">
      <c r="B14" s="1120" t="s">
        <v>1286</v>
      </c>
      <c r="C14" s="727"/>
      <c r="D14" s="1206">
        <v>0.2</v>
      </c>
      <c r="E14" s="1203"/>
      <c r="F14" s="1119">
        <v>15</v>
      </c>
      <c r="G14" s="1121">
        <v>0.2</v>
      </c>
      <c r="H14" s="729"/>
      <c r="I14" s="1206">
        <v>0.2</v>
      </c>
      <c r="J14" s="1203"/>
      <c r="K14" s="1121">
        <v>0.2</v>
      </c>
      <c r="L14" s="741">
        <v>25</v>
      </c>
      <c r="M14" s="745">
        <v>30</v>
      </c>
    </row>
    <row r="15" spans="2:13" ht="23.25" customHeight="1">
      <c r="B15" s="1120" t="s">
        <v>1287</v>
      </c>
      <c r="C15" s="727"/>
      <c r="D15" s="1206">
        <v>0.2</v>
      </c>
      <c r="E15" s="1203"/>
      <c r="F15" s="728">
        <v>25</v>
      </c>
      <c r="G15" s="1121">
        <v>0.2</v>
      </c>
      <c r="H15" s="729"/>
      <c r="I15" s="1206">
        <v>0.2</v>
      </c>
      <c r="J15" s="1203"/>
      <c r="K15" s="1121">
        <v>0.2</v>
      </c>
      <c r="L15" s="741">
        <v>25</v>
      </c>
      <c r="M15" s="745">
        <v>30</v>
      </c>
    </row>
    <row r="16" spans="2:13" ht="23.25" customHeight="1">
      <c r="B16" s="1120" t="s">
        <v>1288</v>
      </c>
      <c r="C16" s="727"/>
      <c r="D16" s="1206">
        <v>0.2</v>
      </c>
      <c r="E16" s="1203"/>
      <c r="F16" s="1119">
        <v>35</v>
      </c>
      <c r="G16" s="1121">
        <v>0.2</v>
      </c>
      <c r="H16" s="729"/>
      <c r="I16" s="1206">
        <v>0.2</v>
      </c>
      <c r="J16" s="1203"/>
      <c r="K16" s="1121">
        <v>0.2</v>
      </c>
      <c r="L16" s="741">
        <v>35</v>
      </c>
      <c r="M16" s="745">
        <v>40</v>
      </c>
    </row>
    <row r="17" spans="2:20" ht="23.25" customHeight="1">
      <c r="B17" s="731" t="s">
        <v>1289</v>
      </c>
      <c r="C17" s="721"/>
      <c r="D17" s="1170"/>
      <c r="E17" s="1171"/>
      <c r="F17" s="732"/>
      <c r="G17" s="732"/>
      <c r="H17" s="723"/>
      <c r="I17" s="1172"/>
      <c r="J17" s="1173"/>
      <c r="K17" s="732"/>
      <c r="L17" s="732"/>
      <c r="M17" s="734"/>
      <c r="O17" s="711" t="s">
        <v>1290</v>
      </c>
      <c r="P17" s="711">
        <f>177*200</f>
        <v>35400</v>
      </c>
      <c r="Q17" s="746">
        <f>P17/J42</f>
        <v>1.206650635028504E-2</v>
      </c>
    </row>
    <row r="18" spans="2:20" ht="23.25" customHeight="1">
      <c r="B18" s="1120" t="s">
        <v>1291</v>
      </c>
      <c r="C18" s="736"/>
      <c r="D18" s="1206">
        <v>0.2</v>
      </c>
      <c r="E18" s="1203"/>
      <c r="F18" s="754" t="s">
        <v>1293</v>
      </c>
      <c r="G18" s="1121">
        <v>0.2</v>
      </c>
      <c r="H18" s="737"/>
      <c r="I18" s="1186">
        <v>0.2</v>
      </c>
      <c r="J18" s="1187"/>
      <c r="K18" s="754">
        <v>0.2</v>
      </c>
      <c r="L18" s="748">
        <v>0.2</v>
      </c>
      <c r="M18" s="751">
        <v>0.2</v>
      </c>
      <c r="O18" s="711" t="s">
        <v>1295</v>
      </c>
      <c r="Q18" s="752">
        <v>5.0000000000000001E-3</v>
      </c>
    </row>
    <row r="19" spans="2:20" ht="23.25" customHeight="1">
      <c r="B19" s="1120" t="s">
        <v>1296</v>
      </c>
      <c r="C19" s="736"/>
      <c r="D19" s="1206">
        <v>0.2</v>
      </c>
      <c r="E19" s="1203"/>
      <c r="F19" s="1122" t="s">
        <v>1297</v>
      </c>
      <c r="G19" s="1121">
        <v>0.2</v>
      </c>
      <c r="H19" s="737"/>
      <c r="I19" s="1186">
        <v>0.2</v>
      </c>
      <c r="J19" s="1187"/>
      <c r="K19" s="754">
        <v>0.2</v>
      </c>
      <c r="L19" s="748">
        <v>0.2</v>
      </c>
      <c r="M19" s="751">
        <v>0.2</v>
      </c>
    </row>
    <row r="20" spans="2:20" ht="23.25" customHeight="1">
      <c r="B20" s="731" t="s">
        <v>1298</v>
      </c>
      <c r="C20" s="721"/>
      <c r="D20" s="1170"/>
      <c r="E20" s="1171"/>
      <c r="F20" s="732"/>
      <c r="G20" s="732"/>
      <c r="H20" s="723"/>
      <c r="I20" s="1172"/>
      <c r="J20" s="1173"/>
      <c r="K20" s="732"/>
      <c r="L20" s="732"/>
      <c r="M20" s="734"/>
      <c r="P20" s="711" t="s">
        <v>1299</v>
      </c>
      <c r="R20" s="753">
        <v>9.2999999999999999E-2</v>
      </c>
    </row>
    <row r="21" spans="2:20" ht="23.25" customHeight="1">
      <c r="B21" s="1120" t="s">
        <v>1300</v>
      </c>
      <c r="C21" s="727"/>
      <c r="D21" s="1206">
        <v>0.2</v>
      </c>
      <c r="E21" s="1203"/>
      <c r="F21" s="728" t="s">
        <v>1301</v>
      </c>
      <c r="G21" s="1121">
        <v>0.2</v>
      </c>
      <c r="H21" s="729"/>
      <c r="I21" s="1186">
        <v>0.2</v>
      </c>
      <c r="J21" s="1187"/>
      <c r="K21" s="754">
        <v>0.2</v>
      </c>
      <c r="L21" s="754">
        <v>0.2</v>
      </c>
      <c r="M21" s="755">
        <v>0.2</v>
      </c>
      <c r="R21" s="753"/>
    </row>
    <row r="22" spans="2:20" ht="23.25" customHeight="1">
      <c r="B22" s="1120" t="s">
        <v>1302</v>
      </c>
      <c r="C22" s="727"/>
      <c r="D22" s="1206">
        <v>0.2</v>
      </c>
      <c r="E22" s="1203"/>
      <c r="F22" s="728" t="s">
        <v>1301</v>
      </c>
      <c r="G22" s="1121">
        <v>0.2</v>
      </c>
      <c r="H22" s="729"/>
      <c r="I22" s="1186">
        <v>0.2</v>
      </c>
      <c r="J22" s="1169"/>
      <c r="K22" s="754">
        <v>0.2</v>
      </c>
      <c r="L22" s="756" t="s">
        <v>1303</v>
      </c>
      <c r="M22" s="757" t="s">
        <v>1303</v>
      </c>
      <c r="R22" s="711" t="s">
        <v>1304</v>
      </c>
      <c r="S22" s="711" t="s">
        <v>1305</v>
      </c>
      <c r="T22" s="711" t="s">
        <v>1306</v>
      </c>
    </row>
    <row r="23" spans="2:20" ht="33" customHeight="1">
      <c r="B23" s="1120" t="s">
        <v>1307</v>
      </c>
      <c r="C23" s="736"/>
      <c r="D23" s="1206">
        <v>0.2</v>
      </c>
      <c r="E23" s="1203"/>
      <c r="F23" s="728" t="s">
        <v>1301</v>
      </c>
      <c r="G23" s="1121">
        <v>0.2</v>
      </c>
      <c r="H23" s="737"/>
      <c r="I23" s="1201">
        <v>0.2</v>
      </c>
      <c r="J23" s="1207"/>
      <c r="K23" s="1121">
        <v>0.2</v>
      </c>
      <c r="L23" s="759">
        <v>0.2</v>
      </c>
      <c r="M23" s="760">
        <v>0.2</v>
      </c>
      <c r="P23" s="761" t="s">
        <v>1309</v>
      </c>
      <c r="R23" s="753"/>
      <c r="S23" s="762"/>
      <c r="T23" s="753"/>
    </row>
    <row r="24" spans="2:20" ht="23.25" customHeight="1">
      <c r="B24" s="731" t="s">
        <v>1310</v>
      </c>
      <c r="C24" s="721"/>
      <c r="D24" s="1170"/>
      <c r="E24" s="1171"/>
      <c r="F24" s="732"/>
      <c r="G24" s="732"/>
      <c r="H24" s="723"/>
      <c r="I24" s="1172"/>
      <c r="J24" s="1173"/>
      <c r="K24" s="732"/>
      <c r="L24" s="732"/>
      <c r="M24" s="734"/>
      <c r="P24" s="761" t="s">
        <v>1311</v>
      </c>
      <c r="R24" s="753"/>
      <c r="S24" s="763"/>
      <c r="T24" s="764"/>
    </row>
    <row r="25" spans="2:20" ht="23.25" customHeight="1">
      <c r="B25" s="1120" t="s">
        <v>1312</v>
      </c>
      <c r="C25" s="736"/>
      <c r="D25" s="1206">
        <v>0.2</v>
      </c>
      <c r="E25" s="1203"/>
      <c r="F25" s="728" t="s">
        <v>1301</v>
      </c>
      <c r="G25" s="1121">
        <v>0.2</v>
      </c>
      <c r="H25" s="737"/>
      <c r="I25" s="1186">
        <v>0.2</v>
      </c>
      <c r="J25" s="1187"/>
      <c r="K25" s="754">
        <v>0.2</v>
      </c>
      <c r="L25" s="748">
        <v>0.2</v>
      </c>
      <c r="M25" s="751">
        <v>0.2</v>
      </c>
      <c r="P25" s="763">
        <v>400</v>
      </c>
      <c r="R25" s="764"/>
      <c r="S25" s="765"/>
      <c r="T25" s="764"/>
    </row>
    <row r="26" spans="2:20" ht="23.25" customHeight="1">
      <c r="B26" s="1120" t="s">
        <v>1313</v>
      </c>
      <c r="C26" s="736"/>
      <c r="D26" s="1206">
        <v>0.2</v>
      </c>
      <c r="E26" s="1203"/>
      <c r="F26" s="728" t="s">
        <v>1301</v>
      </c>
      <c r="G26" s="1121">
        <v>0.2</v>
      </c>
      <c r="H26" s="737"/>
      <c r="I26" s="1186">
        <v>0.2</v>
      </c>
      <c r="J26" s="1187"/>
      <c r="K26" s="754">
        <v>0.2</v>
      </c>
      <c r="L26" s="748">
        <v>0.2</v>
      </c>
      <c r="M26" s="751">
        <v>0.2</v>
      </c>
      <c r="P26" s="763">
        <v>2500</v>
      </c>
      <c r="R26" s="766"/>
      <c r="S26" s="767"/>
      <c r="T26" s="766"/>
    </row>
    <row r="27" spans="2:20" ht="23.25" customHeight="1">
      <c r="B27" s="731" t="s">
        <v>1314</v>
      </c>
      <c r="C27" s="721"/>
      <c r="D27" s="1170"/>
      <c r="E27" s="1171"/>
      <c r="F27" s="732"/>
      <c r="G27" s="732"/>
      <c r="H27" s="723"/>
      <c r="I27" s="1172"/>
      <c r="J27" s="1173"/>
      <c r="K27" s="732"/>
      <c r="L27" s="732"/>
      <c r="M27" s="734"/>
      <c r="P27" s="768" t="s">
        <v>1315</v>
      </c>
      <c r="Q27" s="768"/>
      <c r="R27" s="769">
        <v>-0.02</v>
      </c>
      <c r="S27" s="769">
        <v>-2.1999999999999999E-2</v>
      </c>
      <c r="T27" s="769">
        <v>-2.3E-2</v>
      </c>
    </row>
    <row r="28" spans="2:20" ht="25.9" customHeight="1">
      <c r="B28" s="1120" t="s">
        <v>1316</v>
      </c>
      <c r="C28" s="727"/>
      <c r="D28" s="1202" t="s">
        <v>1345</v>
      </c>
      <c r="E28" s="1203"/>
      <c r="F28" s="738" t="s">
        <v>1318</v>
      </c>
      <c r="G28" s="738" t="s">
        <v>1345</v>
      </c>
      <c r="H28" s="729"/>
      <c r="I28" s="1178" t="s">
        <v>1346</v>
      </c>
      <c r="J28" s="1179"/>
      <c r="K28" s="738" t="s">
        <v>1346</v>
      </c>
      <c r="L28" s="770" t="s">
        <v>1319</v>
      </c>
      <c r="M28" s="745" t="s">
        <v>1317</v>
      </c>
    </row>
    <row r="29" spans="2:20" ht="27.75" customHeight="1">
      <c r="B29" s="1120" t="s">
        <v>1321</v>
      </c>
      <c r="C29" s="727"/>
      <c r="D29" s="1202" t="s">
        <v>1345</v>
      </c>
      <c r="E29" s="1203"/>
      <c r="F29" s="738" t="s">
        <v>1318</v>
      </c>
      <c r="G29" s="738" t="s">
        <v>1345</v>
      </c>
      <c r="H29" s="729"/>
      <c r="I29" s="1178" t="s">
        <v>1346</v>
      </c>
      <c r="J29" s="1179"/>
      <c r="K29" s="738" t="s">
        <v>1346</v>
      </c>
      <c r="L29" s="770" t="s">
        <v>1319</v>
      </c>
      <c r="M29" s="745" t="s">
        <v>1317</v>
      </c>
      <c r="P29" s="753"/>
      <c r="R29" s="753"/>
      <c r="T29" s="753"/>
    </row>
    <row r="30" spans="2:20" ht="30" hidden="1" customHeight="1">
      <c r="B30" s="1120" t="s">
        <v>1322</v>
      </c>
      <c r="C30" s="727"/>
      <c r="D30" s="1202" t="s">
        <v>1323</v>
      </c>
      <c r="E30" s="1203"/>
      <c r="F30" s="738" t="s">
        <v>1323</v>
      </c>
      <c r="G30" s="738" t="s">
        <v>1323</v>
      </c>
      <c r="H30" s="729"/>
      <c r="I30" s="1178" t="s">
        <v>1319</v>
      </c>
      <c r="J30" s="1179"/>
      <c r="K30" s="1036" t="s">
        <v>1320</v>
      </c>
      <c r="L30" s="770" t="s">
        <v>1319</v>
      </c>
      <c r="M30" s="745" t="s">
        <v>1317</v>
      </c>
      <c r="P30" s="711">
        <v>1.2</v>
      </c>
      <c r="Q30" s="711">
        <f>P30+S31</f>
        <v>2.1800000000000002</v>
      </c>
    </row>
    <row r="31" spans="2:20" ht="23.25" customHeight="1">
      <c r="B31" s="774" t="s">
        <v>1324</v>
      </c>
      <c r="C31" s="721"/>
      <c r="D31" s="1192"/>
      <c r="E31" s="1193"/>
      <c r="F31" s="775"/>
      <c r="G31" s="775"/>
      <c r="H31" s="723"/>
      <c r="I31" s="1172"/>
      <c r="J31" s="1173"/>
      <c r="K31" s="775"/>
      <c r="L31" s="775"/>
      <c r="M31" s="776"/>
      <c r="P31" s="711">
        <v>3.16</v>
      </c>
      <c r="Q31" s="711">
        <f>P31-P30</f>
        <v>1.9600000000000002</v>
      </c>
      <c r="R31" s="711">
        <f>Q31/400</f>
        <v>4.9000000000000007E-3</v>
      </c>
      <c r="S31" s="711">
        <f>R31*200</f>
        <v>0.98000000000000009</v>
      </c>
    </row>
    <row r="32" spans="2:20" ht="23.25" customHeight="1">
      <c r="B32" s="1123" t="s">
        <v>1325</v>
      </c>
      <c r="C32" s="738"/>
      <c r="D32" s="1202" t="s">
        <v>1347</v>
      </c>
      <c r="E32" s="1203"/>
      <c r="F32" s="738">
        <v>15</v>
      </c>
      <c r="G32" s="738" t="s">
        <v>1347</v>
      </c>
      <c r="H32" s="1116"/>
      <c r="I32" s="1201">
        <v>0.2</v>
      </c>
      <c r="J32" s="1179"/>
      <c r="K32" s="1121">
        <v>0.2</v>
      </c>
      <c r="L32" s="770">
        <v>10</v>
      </c>
      <c r="M32" s="773">
        <v>10</v>
      </c>
      <c r="P32" s="768">
        <v>4.53</v>
      </c>
      <c r="Q32" s="711">
        <f>P32-P31</f>
        <v>1.37</v>
      </c>
      <c r="R32" s="778"/>
    </row>
    <row r="33" spans="2:18" ht="23.25" customHeight="1">
      <c r="B33" s="1123" t="s">
        <v>1326</v>
      </c>
      <c r="C33" s="738"/>
      <c r="D33" s="1204" t="s">
        <v>1348</v>
      </c>
      <c r="E33" s="1205"/>
      <c r="F33" s="756">
        <v>30</v>
      </c>
      <c r="G33" s="756" t="s">
        <v>1348</v>
      </c>
      <c r="H33" s="1116"/>
      <c r="I33" s="1201">
        <v>0.2</v>
      </c>
      <c r="J33" s="1179"/>
      <c r="K33" s="1121">
        <v>0.2</v>
      </c>
      <c r="L33" s="744">
        <v>30</v>
      </c>
      <c r="M33" s="779">
        <v>30</v>
      </c>
      <c r="P33" s="711">
        <v>5.85</v>
      </c>
      <c r="Q33" s="711">
        <f>P33-P32</f>
        <v>1.3199999999999994</v>
      </c>
    </row>
    <row r="34" spans="2:18" ht="23.25" customHeight="1">
      <c r="B34" s="1124" t="s">
        <v>1327</v>
      </c>
      <c r="C34" s="1125"/>
      <c r="D34" s="1168" t="s">
        <v>1349</v>
      </c>
      <c r="E34" s="1200"/>
      <c r="F34" s="1126"/>
      <c r="G34" s="1126" t="s">
        <v>1350</v>
      </c>
      <c r="H34" s="1127"/>
      <c r="I34" s="1201">
        <v>0.2</v>
      </c>
      <c r="J34" s="1179"/>
      <c r="K34" s="1121">
        <v>0.2</v>
      </c>
      <c r="L34" s="1047"/>
      <c r="M34" s="1048"/>
    </row>
    <row r="35" spans="2:18" ht="23.25" customHeight="1">
      <c r="B35" s="1124" t="s">
        <v>1328</v>
      </c>
      <c r="C35" s="1128"/>
      <c r="D35" s="1168" t="s">
        <v>1349</v>
      </c>
      <c r="E35" s="1200"/>
      <c r="F35" s="782" t="s">
        <v>1329</v>
      </c>
      <c r="G35" s="1126" t="s">
        <v>1350</v>
      </c>
      <c r="H35" s="1129"/>
      <c r="I35" s="1201">
        <v>0.2</v>
      </c>
      <c r="J35" s="1179"/>
      <c r="K35" s="1121">
        <v>0.2</v>
      </c>
      <c r="L35" s="782" t="s">
        <v>1329</v>
      </c>
      <c r="M35" s="784" t="s">
        <v>1329</v>
      </c>
    </row>
    <row r="36" spans="2:18" ht="33" customHeight="1">
      <c r="B36" s="785"/>
      <c r="C36" s="786" t="s">
        <v>1330</v>
      </c>
      <c r="D36" s="787">
        <v>2024</v>
      </c>
      <c r="E36" s="788">
        <v>2025</v>
      </c>
      <c r="F36" s="789" t="s">
        <v>1331</v>
      </c>
      <c r="G36" s="789" t="s">
        <v>1332</v>
      </c>
      <c r="H36" s="790" t="s">
        <v>1333</v>
      </c>
      <c r="I36" s="791">
        <v>2024</v>
      </c>
      <c r="J36" s="792">
        <v>2025</v>
      </c>
      <c r="K36" s="793" t="s">
        <v>1332</v>
      </c>
      <c r="L36" s="793" t="s">
        <v>1334</v>
      </c>
      <c r="M36" s="794" t="s">
        <v>1335</v>
      </c>
    </row>
    <row r="37" spans="2:18">
      <c r="B37" s="795" t="s">
        <v>1336</v>
      </c>
      <c r="C37" s="1130">
        <f>'Kaiser HSA'!C6</f>
        <v>13</v>
      </c>
      <c r="D37" s="1131">
        <f>'Kaiser HSA'!D6</f>
        <v>594.42999999999995</v>
      </c>
      <c r="E37" s="1131">
        <f>'Kaiser HSA'!H6</f>
        <v>620.78</v>
      </c>
      <c r="F37" s="1132">
        <v>808.47</v>
      </c>
      <c r="G37" s="1132">
        <v>614.48</v>
      </c>
      <c r="H37" s="799">
        <v>39</v>
      </c>
      <c r="I37" s="1133">
        <f>'Regence HSA with VSP'!D6</f>
        <v>758.88</v>
      </c>
      <c r="J37" s="1134">
        <f>'Regence HSA with VSP'!H6</f>
        <v>831.96014400000001</v>
      </c>
      <c r="K37" s="800">
        <f>'Regence HSA with VSP'!H17</f>
        <v>816.32721600000002</v>
      </c>
      <c r="L37" s="800">
        <f>SUM(I37*(1+(9.63%-2.2%)))</f>
        <v>815.26478399999996</v>
      </c>
      <c r="M37" s="800">
        <f>SUM(I37*(1+(9.63%-2.3%)))</f>
        <v>814.50590399999999</v>
      </c>
    </row>
    <row r="38" spans="2:18">
      <c r="B38" s="801" t="s">
        <v>1337</v>
      </c>
      <c r="C38" s="1130">
        <f>'Kaiser HSA'!C7</f>
        <v>9</v>
      </c>
      <c r="D38" s="1135">
        <f>'Kaiser HSA'!D7</f>
        <v>1188.3900000000001</v>
      </c>
      <c r="E38" s="1135">
        <f>'Kaiser HSA'!H7</f>
        <v>1241.06</v>
      </c>
      <c r="F38" s="804">
        <v>1617.02</v>
      </c>
      <c r="G38" s="804">
        <v>1228.47</v>
      </c>
      <c r="H38" s="805">
        <v>27</v>
      </c>
      <c r="I38" s="1136">
        <f>'Regence HSA with VSP'!D7</f>
        <v>1593.99</v>
      </c>
      <c r="J38" s="1134">
        <f>'Regence HSA with VSP'!H7</f>
        <v>1747.4912370000002</v>
      </c>
      <c r="K38" s="800">
        <f>'Regence HSA with VSP'!H18</f>
        <v>1714.6550430000002</v>
      </c>
      <c r="L38" s="800">
        <f>SUM(I38*(1+(9.63%-2.2%)))</f>
        <v>1712.4234570000001</v>
      </c>
      <c r="M38" s="800">
        <f>SUM(I38*(1+(9.63%-2.3%)))</f>
        <v>1710.8294669999998</v>
      </c>
      <c r="O38" s="806"/>
    </row>
    <row r="39" spans="2:18">
      <c r="B39" s="801" t="s">
        <v>1338</v>
      </c>
      <c r="C39" s="1130">
        <f>'Kaiser HSA'!C8</f>
        <v>4</v>
      </c>
      <c r="D39" s="1135">
        <f>'Kaiser HSA'!D8</f>
        <v>1070.93</v>
      </c>
      <c r="E39" s="1135">
        <f>'Kaiser HSA'!H8</f>
        <v>1118.3900000000001</v>
      </c>
      <c r="F39" s="804">
        <v>1455.41</v>
      </c>
      <c r="G39" s="804">
        <v>1107.05</v>
      </c>
      <c r="H39" s="805">
        <v>15</v>
      </c>
      <c r="I39" s="1136">
        <f>'Regence HSA with VSP'!D8</f>
        <v>1366.28</v>
      </c>
      <c r="J39" s="1134">
        <f>'Regence HSA with VSP'!H8</f>
        <v>1497.852764</v>
      </c>
      <c r="K39" s="800">
        <f>'Regence HSA with VSP'!H19</f>
        <v>1469.707396</v>
      </c>
      <c r="L39" s="800">
        <f>SUM(I39*(1+(9.63%-2.2%)))</f>
        <v>1467.7946039999999</v>
      </c>
      <c r="M39" s="800">
        <f>SUM(I39*(1+(9.63%-2.3%)))</f>
        <v>1466.428324</v>
      </c>
      <c r="O39" s="806"/>
      <c r="R39" s="753"/>
    </row>
    <row r="40" spans="2:18">
      <c r="B40" s="801" t="s">
        <v>1339</v>
      </c>
      <c r="C40" s="1130">
        <f>'Kaiser HSA'!C9</f>
        <v>17</v>
      </c>
      <c r="D40" s="1135">
        <f>'Kaiser HSA'!D9</f>
        <v>1782.82</v>
      </c>
      <c r="E40" s="1135">
        <f>'Kaiser HSA'!H9</f>
        <v>1861.83</v>
      </c>
      <c r="F40" s="804">
        <v>2425.89</v>
      </c>
      <c r="G40" s="804">
        <v>1842.95</v>
      </c>
      <c r="H40" s="807">
        <v>59</v>
      </c>
      <c r="I40" s="1136">
        <f>'Regence HSA with VSP'!D9</f>
        <v>2201.27</v>
      </c>
      <c r="J40" s="1134">
        <f>'Regence HSA with VSP'!H9</f>
        <v>2413.252301</v>
      </c>
      <c r="K40" s="800">
        <f>'Regence HSA with VSP'!H20</f>
        <v>2367.9061390000002</v>
      </c>
      <c r="L40" s="800">
        <f>SUM(I40*(1+(9.63%-2.2%)))</f>
        <v>2364.824361</v>
      </c>
      <c r="M40" s="800">
        <f>SUM(I40*(1+(9.63%-2.3%)))</f>
        <v>2362.6230909999999</v>
      </c>
      <c r="R40" s="753"/>
    </row>
    <row r="41" spans="2:18">
      <c r="B41" s="801"/>
      <c r="C41" s="808">
        <f>SUM(C37:C40)</f>
        <v>43</v>
      </c>
      <c r="D41" s="802"/>
      <c r="E41" s="803"/>
      <c r="F41" s="804"/>
      <c r="G41" s="804"/>
      <c r="H41" s="807">
        <f>SUM(H37:H40)</f>
        <v>140</v>
      </c>
      <c r="I41" s="802"/>
      <c r="J41" s="803"/>
      <c r="K41" s="809"/>
      <c r="L41" s="809"/>
      <c r="M41" s="810"/>
    </row>
    <row r="42" spans="2:18">
      <c r="B42" s="811" t="s">
        <v>1340</v>
      </c>
      <c r="C42" s="812"/>
      <c r="D42" s="1137">
        <f>((C37*D37)+(C38*D38)+(C39*D39)+(C40*D40))*12</f>
        <v>636177.11999999988</v>
      </c>
      <c r="E42" s="1138">
        <f>((C37*E37)+(C38*E38)+(C39*E39)+(C40*E40))*12</f>
        <v>664372.20000000007</v>
      </c>
      <c r="F42" s="815">
        <f>((C37*F37)+(C38*F38)+(C39*F39)+(C40*F40))*12</f>
        <v>865500.72</v>
      </c>
      <c r="G42" s="815">
        <f>((C37*G37)+(C38*G38)+(C39*G39)+(C40*G40))*12</f>
        <v>657633.84000000008</v>
      </c>
      <c r="H42" s="816"/>
      <c r="I42" s="813">
        <f>((H37*I37)+(H38*I38)+(H39*I39)+(H40*I40))*12</f>
        <v>2676038.16</v>
      </c>
      <c r="J42" s="1139">
        <f>(($H$37*J37)+($H$38*J38)+($H$39*J39)+($H$40*J40))*12</f>
        <v>2933740.6348080002</v>
      </c>
      <c r="K42" s="1140">
        <f>(($H$37*K37)+($H$38*K38)+($H$39*K39)+($H$40*K40))*12</f>
        <v>2878614.2487120004</v>
      </c>
      <c r="L42" s="817">
        <f>(($H$37*L37)+($H$38*L38)+($H$39*L39)+($H$40*L40))*12</f>
        <v>2874867.7952879998</v>
      </c>
      <c r="M42" s="817">
        <f>(($H$37*M37)+($H$38*M38)+($H$39*M39)+($H$40*M40))*12</f>
        <v>2872191.7571279998</v>
      </c>
    </row>
    <row r="43" spans="2:18">
      <c r="B43" s="818" t="s">
        <v>1341</v>
      </c>
      <c r="C43" s="812"/>
      <c r="D43" s="819"/>
      <c r="E43" s="820">
        <f>E42-D42</f>
        <v>28195.080000000191</v>
      </c>
      <c r="F43" s="821">
        <f>F42-D42</f>
        <v>229323.60000000009</v>
      </c>
      <c r="G43" s="821">
        <f>G42-D42</f>
        <v>21456.720000000205</v>
      </c>
      <c r="H43" s="816"/>
      <c r="I43" s="819"/>
      <c r="J43" s="1090">
        <f>J42-$I$42</f>
        <v>257702.47480800003</v>
      </c>
      <c r="K43" s="1141">
        <f>K42-$I$42</f>
        <v>202576.08871200029</v>
      </c>
      <c r="L43" s="822">
        <f>L42-$I$42</f>
        <v>198829.63528799964</v>
      </c>
      <c r="M43" s="822">
        <f>M42-$I$42</f>
        <v>196153.59712799964</v>
      </c>
    </row>
    <row r="44" spans="2:18">
      <c r="B44" s="823" t="s">
        <v>1342</v>
      </c>
      <c r="C44" s="824"/>
      <c r="D44" s="825"/>
      <c r="E44" s="826">
        <f>E42/D42-1</f>
        <v>4.4319544217497508E-2</v>
      </c>
      <c r="F44" s="827">
        <f>SUM(F42/D42)-1</f>
        <v>0.36047131025397472</v>
      </c>
      <c r="G44" s="827">
        <f>SUM(G42/D42)-1</f>
        <v>3.3727588316914359E-2</v>
      </c>
      <c r="H44" s="828"/>
      <c r="I44" s="829"/>
      <c r="J44" s="826">
        <f>J42/I42-1</f>
        <v>9.6300000000000052E-2</v>
      </c>
      <c r="K44" s="827">
        <f>K42/I42-1</f>
        <v>7.5700000000000101E-2</v>
      </c>
      <c r="L44" s="827">
        <f>L42/I42-1</f>
        <v>7.4299999999999811E-2</v>
      </c>
      <c r="M44" s="830">
        <f>M42/I42-1</f>
        <v>7.3299999999999921E-2</v>
      </c>
    </row>
    <row r="45" spans="2:18">
      <c r="C45" s="1087"/>
      <c r="D45" s="1087"/>
      <c r="K45" s="832"/>
      <c r="L45" s="832"/>
      <c r="M45" s="832"/>
    </row>
    <row r="46" spans="2:18">
      <c r="C46" s="1088"/>
      <c r="D46" s="1087"/>
      <c r="L46" s="1041"/>
    </row>
    <row r="47" spans="2:18">
      <c r="C47" s="1088"/>
      <c r="D47" s="1087"/>
    </row>
    <row r="48" spans="2:18">
      <c r="C48" s="1088"/>
      <c r="D48" s="1087"/>
    </row>
    <row r="49" spans="3:4">
      <c r="C49" s="1089"/>
      <c r="D49" s="1087"/>
    </row>
  </sheetData>
  <mergeCells count="62"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5:E35"/>
    <mergeCell ref="I35:J35"/>
    <mergeCell ref="D32:E32"/>
    <mergeCell ref="I32:J32"/>
    <mergeCell ref="D33:E33"/>
    <mergeCell ref="I33:J33"/>
    <mergeCell ref="D34:E34"/>
    <mergeCell ref="I34:J34"/>
  </mergeCells>
  <pageMargins left="0.25" right="0.25" top="0.75" bottom="0.75" header="0.3" footer="0.3"/>
  <pageSetup orientation="landscape" horizontalDpi="1200" verticalDpi="12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E9816-8170-455F-80C8-BC52DCDF445D}">
  <dimension ref="A2:AD43"/>
  <sheetViews>
    <sheetView showGridLines="0" topLeftCell="A22" zoomScale="80" zoomScaleNormal="80" workbookViewId="0">
      <pane xSplit="1" topLeftCell="B1" activePane="topRight" state="frozen"/>
      <selection pane="topRight" activeCell="I42" sqref="I42"/>
    </sheetView>
  </sheetViews>
  <sheetFormatPr defaultColWidth="9.21875" defaultRowHeight="12.75"/>
  <cols>
    <col min="1" max="1" width="32.33203125" style="836" customWidth="1"/>
    <col min="2" max="2" width="11.77734375" style="836" customWidth="1"/>
    <col min="3" max="3" width="18.33203125" style="836" customWidth="1"/>
    <col min="4" max="4" width="17.6640625" style="836" customWidth="1"/>
    <col min="5" max="5" width="33.21875" style="836" customWidth="1"/>
    <col min="6" max="6" width="12.109375" style="836" customWidth="1"/>
    <col min="7" max="7" width="20.21875" style="836" customWidth="1"/>
    <col min="8" max="8" width="17.21875" style="836" customWidth="1"/>
    <col min="9" max="9" width="30.5546875" style="836" customWidth="1"/>
    <col min="10" max="17" width="33.21875" style="836" customWidth="1"/>
    <col min="18" max="18" width="9.21875" style="836"/>
    <col min="19" max="19" width="12.109375" style="836" customWidth="1"/>
    <col min="20" max="20" width="15.109375" style="836" customWidth="1"/>
    <col min="21" max="27" width="9.21875" style="1022"/>
    <col min="28" max="16384" width="9.21875" style="836"/>
  </cols>
  <sheetData>
    <row r="2" spans="1:17">
      <c r="L2" s="1034"/>
    </row>
    <row r="3" spans="1:17" ht="13.5" thickBot="1">
      <c r="A3" s="835"/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1"/>
      <c r="P3" s="711"/>
      <c r="Q3" s="711"/>
    </row>
    <row r="4" spans="1:17" ht="42.75" customHeight="1" thickBot="1">
      <c r="A4" s="714" t="s">
        <v>1271</v>
      </c>
      <c r="B4" s="715"/>
      <c r="C4" s="1209" t="s">
        <v>1272</v>
      </c>
      <c r="D4" s="1209"/>
      <c r="E4" s="716" t="s">
        <v>1351</v>
      </c>
      <c r="F4" s="715"/>
      <c r="G4" s="1160" t="s">
        <v>1275</v>
      </c>
      <c r="H4" s="1161"/>
      <c r="I4" s="718" t="s">
        <v>1352</v>
      </c>
      <c r="J4" s="718" t="s">
        <v>1353</v>
      </c>
      <c r="K4" s="719" t="s">
        <v>1354</v>
      </c>
      <c r="L4" s="719" t="s">
        <v>1355</v>
      </c>
      <c r="M4" s="719" t="s">
        <v>1356</v>
      </c>
      <c r="N4" s="719" t="s">
        <v>1357</v>
      </c>
      <c r="O4" s="719" t="s">
        <v>1358</v>
      </c>
      <c r="P4" s="719" t="s">
        <v>1359</v>
      </c>
      <c r="Q4" s="719" t="s">
        <v>1360</v>
      </c>
    </row>
    <row r="5" spans="1:17" ht="23.25" customHeight="1">
      <c r="A5" s="720" t="s">
        <v>1279</v>
      </c>
      <c r="B5" s="721"/>
      <c r="C5" s="1210"/>
      <c r="D5" s="1163"/>
      <c r="E5" s="724"/>
      <c r="F5" s="721"/>
      <c r="G5" s="1165"/>
      <c r="H5" s="1165"/>
      <c r="I5" s="722"/>
      <c r="J5" s="722"/>
      <c r="K5" s="725"/>
      <c r="L5" s="725"/>
      <c r="M5" s="725"/>
      <c r="N5" s="725"/>
      <c r="O5" s="725"/>
      <c r="P5" s="725"/>
      <c r="Q5" s="725"/>
    </row>
    <row r="6" spans="1:17" ht="23.25" customHeight="1">
      <c r="A6" s="726" t="s">
        <v>1280</v>
      </c>
      <c r="B6" s="727"/>
      <c r="C6" s="1211">
        <v>0</v>
      </c>
      <c r="D6" s="1167"/>
      <c r="E6" s="837">
        <v>500</v>
      </c>
      <c r="F6" s="727"/>
      <c r="G6" s="1169">
        <v>300</v>
      </c>
      <c r="H6" s="1169"/>
      <c r="I6" s="728">
        <v>500</v>
      </c>
      <c r="J6" s="728">
        <v>500</v>
      </c>
      <c r="K6" s="730">
        <v>500</v>
      </c>
      <c r="L6" s="730">
        <v>500</v>
      </c>
      <c r="M6" s="730">
        <v>500</v>
      </c>
      <c r="N6" s="730">
        <v>500</v>
      </c>
      <c r="O6" s="1021">
        <v>750</v>
      </c>
      <c r="P6" s="1021">
        <v>750</v>
      </c>
      <c r="Q6" s="1021">
        <v>750</v>
      </c>
    </row>
    <row r="7" spans="1:17" ht="23.25" customHeight="1">
      <c r="A7" s="726" t="s">
        <v>1281</v>
      </c>
      <c r="B7" s="727"/>
      <c r="C7" s="1211">
        <v>0</v>
      </c>
      <c r="D7" s="1167"/>
      <c r="E7" s="837">
        <v>1500</v>
      </c>
      <c r="F7" s="727"/>
      <c r="G7" s="1169">
        <v>900</v>
      </c>
      <c r="H7" s="1169"/>
      <c r="I7" s="728">
        <f t="shared" ref="I7:O7" si="0">I6*3</f>
        <v>1500</v>
      </c>
      <c r="J7" s="728">
        <f t="shared" si="0"/>
        <v>1500</v>
      </c>
      <c r="K7" s="730">
        <f t="shared" si="0"/>
        <v>1500</v>
      </c>
      <c r="L7" s="730">
        <f t="shared" si="0"/>
        <v>1500</v>
      </c>
      <c r="M7" s="730">
        <f t="shared" si="0"/>
        <v>1500</v>
      </c>
      <c r="N7" s="730">
        <f t="shared" si="0"/>
        <v>1500</v>
      </c>
      <c r="O7" s="1021">
        <f t="shared" si="0"/>
        <v>2250</v>
      </c>
      <c r="P7" s="1021">
        <f>P6*3</f>
        <v>2250</v>
      </c>
      <c r="Q7" s="1021">
        <f>Q6*3</f>
        <v>2250</v>
      </c>
    </row>
    <row r="8" spans="1:17" ht="23.25" customHeight="1">
      <c r="A8" s="731" t="s">
        <v>1282</v>
      </c>
      <c r="B8" s="721"/>
      <c r="C8" s="1212"/>
      <c r="D8" s="1171"/>
      <c r="E8" s="733"/>
      <c r="F8" s="721"/>
      <c r="G8" s="1173"/>
      <c r="H8" s="1173"/>
      <c r="I8" s="732"/>
      <c r="J8" s="732"/>
      <c r="K8" s="734"/>
      <c r="L8" s="734"/>
      <c r="M8" s="734"/>
      <c r="N8" s="734"/>
      <c r="O8" s="734"/>
      <c r="P8" s="734"/>
      <c r="Q8" s="734"/>
    </row>
    <row r="9" spans="1:17" ht="23.25" customHeight="1">
      <c r="A9" s="726" t="s">
        <v>1280</v>
      </c>
      <c r="B9" s="727"/>
      <c r="C9" s="1213">
        <v>1500</v>
      </c>
      <c r="D9" s="1175"/>
      <c r="E9" s="838">
        <v>3000</v>
      </c>
      <c r="F9" s="727"/>
      <c r="G9" s="1169">
        <v>2300</v>
      </c>
      <c r="H9" s="1169"/>
      <c r="I9" s="728">
        <v>2600</v>
      </c>
      <c r="J9" s="728">
        <v>2600</v>
      </c>
      <c r="K9" s="730">
        <v>2600</v>
      </c>
      <c r="L9" s="1021">
        <v>3000</v>
      </c>
      <c r="M9" s="1021">
        <v>4000</v>
      </c>
      <c r="N9" s="1021">
        <v>5000</v>
      </c>
      <c r="O9" s="1021">
        <v>3000</v>
      </c>
      <c r="P9" s="1021">
        <v>4000</v>
      </c>
      <c r="Q9" s="1021">
        <v>5000</v>
      </c>
    </row>
    <row r="10" spans="1:17" ht="23.25" customHeight="1">
      <c r="A10" s="726" t="s">
        <v>1283</v>
      </c>
      <c r="B10" s="727"/>
      <c r="C10" s="1213">
        <v>3000</v>
      </c>
      <c r="D10" s="1175"/>
      <c r="E10" s="838">
        <v>6000</v>
      </c>
      <c r="F10" s="727"/>
      <c r="G10" s="1169">
        <v>6900</v>
      </c>
      <c r="H10" s="1169"/>
      <c r="I10" s="728">
        <f t="shared" ref="I10:Q10" si="1">I9*3</f>
        <v>7800</v>
      </c>
      <c r="J10" s="728">
        <f t="shared" si="1"/>
        <v>7800</v>
      </c>
      <c r="K10" s="730">
        <f t="shared" si="1"/>
        <v>7800</v>
      </c>
      <c r="L10" s="1021">
        <f t="shared" si="1"/>
        <v>9000</v>
      </c>
      <c r="M10" s="1021">
        <f t="shared" si="1"/>
        <v>12000</v>
      </c>
      <c r="N10" s="1021">
        <f t="shared" si="1"/>
        <v>15000</v>
      </c>
      <c r="O10" s="1021">
        <f t="shared" si="1"/>
        <v>9000</v>
      </c>
      <c r="P10" s="1021">
        <f t="shared" si="1"/>
        <v>12000</v>
      </c>
      <c r="Q10" s="1021">
        <f t="shared" si="1"/>
        <v>15000</v>
      </c>
    </row>
    <row r="11" spans="1:17" ht="23.25" customHeight="1">
      <c r="A11" s="731" t="s">
        <v>1284</v>
      </c>
      <c r="B11" s="721"/>
      <c r="C11" s="1212"/>
      <c r="D11" s="1171"/>
      <c r="E11" s="733"/>
      <c r="F11" s="721"/>
      <c r="G11" s="1173"/>
      <c r="H11" s="1173"/>
      <c r="I11" s="732"/>
      <c r="J11" s="732"/>
      <c r="K11" s="734"/>
      <c r="L11" s="734"/>
      <c r="M11" s="734"/>
      <c r="N11" s="734"/>
      <c r="O11" s="734"/>
      <c r="P11" s="734"/>
      <c r="Q11" s="734"/>
    </row>
    <row r="12" spans="1:17" ht="23.25" customHeight="1">
      <c r="A12" s="735" t="s">
        <v>1285</v>
      </c>
      <c r="B12" s="736"/>
      <c r="C12" s="1214">
        <v>0</v>
      </c>
      <c r="D12" s="1215"/>
      <c r="E12" s="839">
        <v>0</v>
      </c>
      <c r="F12" s="736"/>
      <c r="G12" s="1179">
        <v>0</v>
      </c>
      <c r="H12" s="1179"/>
      <c r="I12" s="738">
        <v>0</v>
      </c>
      <c r="J12" s="738">
        <v>0</v>
      </c>
      <c r="K12" s="739">
        <v>0</v>
      </c>
      <c r="L12" s="739">
        <v>0</v>
      </c>
      <c r="M12" s="739">
        <v>0</v>
      </c>
      <c r="N12" s="739">
        <v>0</v>
      </c>
      <c r="O12" s="739">
        <v>0</v>
      </c>
      <c r="P12" s="739">
        <v>0</v>
      </c>
      <c r="Q12" s="739">
        <v>0</v>
      </c>
    </row>
    <row r="13" spans="1:17" ht="23.25" customHeight="1">
      <c r="A13" s="735" t="s">
        <v>1286</v>
      </c>
      <c r="B13" s="740"/>
      <c r="C13" s="1213">
        <v>20</v>
      </c>
      <c r="D13" s="1175"/>
      <c r="E13" s="771">
        <v>20</v>
      </c>
      <c r="F13" s="740"/>
      <c r="G13" s="1181">
        <v>20</v>
      </c>
      <c r="H13" s="1181"/>
      <c r="I13" s="744">
        <v>20</v>
      </c>
      <c r="J13" s="741">
        <v>25</v>
      </c>
      <c r="K13" s="745">
        <v>30</v>
      </c>
      <c r="L13" s="745">
        <v>30</v>
      </c>
      <c r="M13" s="745">
        <v>30</v>
      </c>
      <c r="N13" s="745">
        <v>30</v>
      </c>
      <c r="O13" s="745">
        <v>30</v>
      </c>
      <c r="P13" s="745">
        <v>30</v>
      </c>
      <c r="Q13" s="745">
        <v>30</v>
      </c>
    </row>
    <row r="14" spans="1:17" ht="23.25" customHeight="1">
      <c r="A14" s="735" t="s">
        <v>1287</v>
      </c>
      <c r="B14" s="740"/>
      <c r="C14" s="1213">
        <v>20</v>
      </c>
      <c r="D14" s="1175"/>
      <c r="E14" s="771">
        <v>30</v>
      </c>
      <c r="F14" s="740"/>
      <c r="G14" s="1181">
        <v>20</v>
      </c>
      <c r="H14" s="1181"/>
      <c r="I14" s="744">
        <v>20</v>
      </c>
      <c r="J14" s="741">
        <v>25</v>
      </c>
      <c r="K14" s="745">
        <v>30</v>
      </c>
      <c r="L14" s="745">
        <v>30</v>
      </c>
      <c r="M14" s="745">
        <v>30</v>
      </c>
      <c r="N14" s="745">
        <v>30</v>
      </c>
      <c r="O14" s="745">
        <v>30</v>
      </c>
      <c r="P14" s="745">
        <v>30</v>
      </c>
      <c r="Q14" s="745">
        <v>30</v>
      </c>
    </row>
    <row r="15" spans="1:17" ht="23.25" customHeight="1">
      <c r="A15" s="735" t="s">
        <v>1288</v>
      </c>
      <c r="B15" s="740"/>
      <c r="C15" s="1213">
        <v>40</v>
      </c>
      <c r="D15" s="1175"/>
      <c r="E15" s="771">
        <v>40</v>
      </c>
      <c r="F15" s="740"/>
      <c r="G15" s="1181">
        <v>20</v>
      </c>
      <c r="H15" s="1181"/>
      <c r="I15" s="744">
        <v>20</v>
      </c>
      <c r="J15" s="741">
        <v>35</v>
      </c>
      <c r="K15" s="745">
        <v>40</v>
      </c>
      <c r="L15" s="745">
        <v>40</v>
      </c>
      <c r="M15" s="745">
        <v>40</v>
      </c>
      <c r="N15" s="745">
        <v>40</v>
      </c>
      <c r="O15" s="745">
        <v>40</v>
      </c>
      <c r="P15" s="745">
        <v>40</v>
      </c>
      <c r="Q15" s="745">
        <v>40</v>
      </c>
    </row>
    <row r="16" spans="1:17" ht="23.25" customHeight="1">
      <c r="A16" s="731" t="s">
        <v>1289</v>
      </c>
      <c r="B16" s="721"/>
      <c r="C16" s="1212"/>
      <c r="D16" s="1171"/>
      <c r="E16" s="733"/>
      <c r="F16" s="721"/>
      <c r="G16" s="1173"/>
      <c r="H16" s="1173"/>
      <c r="I16" s="732"/>
      <c r="J16" s="732"/>
      <c r="K16" s="734"/>
      <c r="L16" s="734"/>
      <c r="M16" s="734"/>
      <c r="N16" s="734"/>
      <c r="O16" s="734"/>
      <c r="P16" s="734"/>
      <c r="Q16" s="734"/>
    </row>
    <row r="17" spans="1:30" ht="23.25" customHeight="1">
      <c r="A17" s="735" t="s">
        <v>1291</v>
      </c>
      <c r="B17" s="747"/>
      <c r="C17" s="1216" t="s">
        <v>1292</v>
      </c>
      <c r="D17" s="1183"/>
      <c r="E17" s="750" t="s">
        <v>1361</v>
      </c>
      <c r="F17" s="747"/>
      <c r="G17" s="1185">
        <v>0.2</v>
      </c>
      <c r="H17" s="1185"/>
      <c r="I17" s="748">
        <v>0.2</v>
      </c>
      <c r="J17" s="748">
        <v>0.2</v>
      </c>
      <c r="K17" s="751">
        <v>0.2</v>
      </c>
      <c r="L17" s="751">
        <v>0.2</v>
      </c>
      <c r="M17" s="751">
        <v>0.2</v>
      </c>
      <c r="N17" s="751">
        <v>0.2</v>
      </c>
      <c r="O17" s="751">
        <v>0.2</v>
      </c>
      <c r="P17" s="751">
        <v>0.2</v>
      </c>
      <c r="Q17" s="751">
        <v>0.2</v>
      </c>
    </row>
    <row r="18" spans="1:30" ht="23.25" customHeight="1">
      <c r="A18" s="735" t="s">
        <v>1296</v>
      </c>
      <c r="B18" s="747"/>
      <c r="C18" s="1216" t="s">
        <v>1292</v>
      </c>
      <c r="D18" s="1183"/>
      <c r="E18" s="758" t="s">
        <v>1362</v>
      </c>
      <c r="F18" s="747"/>
      <c r="G18" s="1185">
        <v>0.2</v>
      </c>
      <c r="H18" s="1185"/>
      <c r="I18" s="748">
        <v>0.2</v>
      </c>
      <c r="J18" s="748">
        <v>0.2</v>
      </c>
      <c r="K18" s="751">
        <v>0.2</v>
      </c>
      <c r="L18" s="751">
        <v>0.2</v>
      </c>
      <c r="M18" s="751">
        <v>0.2</v>
      </c>
      <c r="N18" s="751">
        <v>0.2</v>
      </c>
      <c r="O18" s="751">
        <v>0.2</v>
      </c>
      <c r="P18" s="751">
        <v>0.2</v>
      </c>
      <c r="Q18" s="751">
        <v>0.2</v>
      </c>
      <c r="AA18" s="1022">
        <f>AA20-U20</f>
        <v>-6.7999999999999972</v>
      </c>
      <c r="AD18" s="1022">
        <f>AD20-U20</f>
        <v>-6.9899999999999949</v>
      </c>
    </row>
    <row r="19" spans="1:30" ht="23.25" customHeight="1">
      <c r="A19" s="731" t="s">
        <v>1298</v>
      </c>
      <c r="B19" s="721"/>
      <c r="C19" s="1212"/>
      <c r="D19" s="1171"/>
      <c r="E19" s="733"/>
      <c r="F19" s="721"/>
      <c r="G19" s="1173"/>
      <c r="H19" s="1173"/>
      <c r="I19" s="732"/>
      <c r="J19" s="732"/>
      <c r="K19" s="734"/>
      <c r="L19" s="734"/>
      <c r="M19" s="734"/>
      <c r="N19" s="734"/>
      <c r="O19" s="734"/>
      <c r="P19" s="734"/>
      <c r="Q19" s="734"/>
      <c r="V19" s="1023"/>
      <c r="Y19" s="1022">
        <f>Y20-X20</f>
        <v>-1.0699999999999932</v>
      </c>
      <c r="Z19" s="1022">
        <f>Z20-Y20</f>
        <v>-2.2700000000000102</v>
      </c>
      <c r="AA19" s="1022">
        <f>AA20-Z20</f>
        <v>-1.8599999999999994</v>
      </c>
      <c r="AB19" s="1022">
        <f>AB20-Y20</f>
        <v>-0.15000000000000568</v>
      </c>
      <c r="AC19" s="1022">
        <f>AC20-AB20</f>
        <v>-2.2900000000000063</v>
      </c>
      <c r="AD19" s="1022">
        <f>AD20-AC20</f>
        <v>-1.8799999999999955</v>
      </c>
    </row>
    <row r="20" spans="1:30" ht="23.25" customHeight="1">
      <c r="A20" s="735" t="s">
        <v>1300</v>
      </c>
      <c r="B20" s="727"/>
      <c r="C20" s="1213">
        <v>75</v>
      </c>
      <c r="D20" s="1175"/>
      <c r="E20" s="841" t="s">
        <v>1363</v>
      </c>
      <c r="F20" s="727"/>
      <c r="G20" s="1187">
        <v>0.2</v>
      </c>
      <c r="H20" s="1187"/>
      <c r="I20" s="754">
        <v>0.2</v>
      </c>
      <c r="J20" s="754">
        <v>0.2</v>
      </c>
      <c r="K20" s="755">
        <v>0.2</v>
      </c>
      <c r="L20" s="755">
        <v>0.2</v>
      </c>
      <c r="M20" s="755">
        <v>0.2</v>
      </c>
      <c r="N20" s="755">
        <v>0.2</v>
      </c>
      <c r="O20" s="755">
        <v>0.2</v>
      </c>
      <c r="P20" s="755">
        <v>0.2</v>
      </c>
      <c r="Q20" s="755">
        <v>0.2</v>
      </c>
      <c r="U20" s="1022">
        <v>86.85</v>
      </c>
      <c r="V20" s="1023">
        <v>0.86</v>
      </c>
      <c r="X20" s="1022">
        <v>85.25</v>
      </c>
      <c r="Y20" s="1022">
        <v>84.18</v>
      </c>
      <c r="Z20" s="1022">
        <v>81.91</v>
      </c>
      <c r="AA20" s="1022">
        <v>80.05</v>
      </c>
      <c r="AB20" s="1022">
        <v>84.03</v>
      </c>
      <c r="AC20" s="1022">
        <v>81.739999999999995</v>
      </c>
      <c r="AD20" s="1022">
        <v>79.86</v>
      </c>
    </row>
    <row r="21" spans="1:30" ht="23.25" customHeight="1">
      <c r="A21" s="735" t="s">
        <v>1302</v>
      </c>
      <c r="B21" s="727"/>
      <c r="C21" s="1213">
        <v>100</v>
      </c>
      <c r="D21" s="1175"/>
      <c r="E21" s="841" t="s">
        <v>1363</v>
      </c>
      <c r="F21" s="727"/>
      <c r="G21" s="1169" t="s">
        <v>1303</v>
      </c>
      <c r="H21" s="1169"/>
      <c r="I21" s="756" t="s">
        <v>1303</v>
      </c>
      <c r="J21" s="756" t="s">
        <v>1303</v>
      </c>
      <c r="K21" s="757" t="s">
        <v>1303</v>
      </c>
      <c r="L21" s="757" t="s">
        <v>1303</v>
      </c>
      <c r="M21" s="757" t="s">
        <v>1303</v>
      </c>
      <c r="N21" s="757" t="s">
        <v>1303</v>
      </c>
      <c r="O21" s="757" t="s">
        <v>1303</v>
      </c>
      <c r="P21" s="757" t="s">
        <v>1303</v>
      </c>
      <c r="Q21" s="757" t="s">
        <v>1303</v>
      </c>
      <c r="T21" s="711"/>
      <c r="U21" s="831"/>
      <c r="V21" s="831" t="s">
        <v>1304</v>
      </c>
      <c r="W21" s="831" t="s">
        <v>1305</v>
      </c>
      <c r="X21" s="831" t="s">
        <v>1306</v>
      </c>
      <c r="Y21" s="831" t="s">
        <v>1364</v>
      </c>
      <c r="Z21" s="831" t="s">
        <v>1365</v>
      </c>
      <c r="AA21" s="831" t="s">
        <v>1366</v>
      </c>
      <c r="AB21" s="831" t="s">
        <v>1367</v>
      </c>
      <c r="AC21" s="831" t="s">
        <v>1368</v>
      </c>
      <c r="AD21" s="831" t="s">
        <v>1369</v>
      </c>
    </row>
    <row r="22" spans="1:30" ht="33" customHeight="1">
      <c r="A22" s="735" t="s">
        <v>1307</v>
      </c>
      <c r="B22" s="747"/>
      <c r="C22" s="1217" t="s">
        <v>1308</v>
      </c>
      <c r="D22" s="1177"/>
      <c r="E22" s="841" t="s">
        <v>1363</v>
      </c>
      <c r="F22" s="747"/>
      <c r="G22" s="1189">
        <v>0.2</v>
      </c>
      <c r="H22" s="1189"/>
      <c r="I22" s="759">
        <v>0.2</v>
      </c>
      <c r="J22" s="759">
        <v>0.2</v>
      </c>
      <c r="K22" s="760">
        <v>0.2</v>
      </c>
      <c r="L22" s="760">
        <v>0.2</v>
      </c>
      <c r="M22" s="760">
        <v>0.2</v>
      </c>
      <c r="N22" s="760">
        <v>0.2</v>
      </c>
      <c r="O22" s="760">
        <v>0.2</v>
      </c>
      <c r="P22" s="760">
        <v>0.2</v>
      </c>
      <c r="Q22" s="760">
        <v>0.2</v>
      </c>
      <c r="T22" s="761" t="s">
        <v>1309</v>
      </c>
      <c r="U22" s="831"/>
      <c r="V22" s="1024"/>
      <c r="W22" s="1025"/>
      <c r="X22" s="1024"/>
      <c r="Y22" s="1024"/>
      <c r="Z22" s="1024"/>
      <c r="AA22" s="1024"/>
      <c r="AB22" s="1024"/>
      <c r="AC22" s="1024"/>
      <c r="AD22" s="1024"/>
    </row>
    <row r="23" spans="1:30" ht="23.25" customHeight="1">
      <c r="A23" s="731" t="s">
        <v>1310</v>
      </c>
      <c r="B23" s="721"/>
      <c r="C23" s="1212"/>
      <c r="D23" s="1171"/>
      <c r="E23" s="733"/>
      <c r="F23" s="721"/>
      <c r="G23" s="1173"/>
      <c r="H23" s="1173"/>
      <c r="I23" s="732"/>
      <c r="J23" s="732"/>
      <c r="K23" s="734"/>
      <c r="L23" s="734"/>
      <c r="M23" s="734"/>
      <c r="N23" s="734"/>
      <c r="O23" s="734"/>
      <c r="P23" s="734"/>
      <c r="Q23" s="734"/>
      <c r="T23" s="761" t="s">
        <v>1311</v>
      </c>
      <c r="U23" s="831"/>
      <c r="V23" s="1024"/>
      <c r="W23" s="1026"/>
      <c r="X23" s="1027"/>
      <c r="Y23" s="1027"/>
      <c r="Z23" s="1027"/>
      <c r="AA23" s="1027"/>
      <c r="AB23" s="1027"/>
      <c r="AC23" s="1027"/>
      <c r="AD23" s="1027"/>
    </row>
    <row r="24" spans="1:30" ht="23.25" customHeight="1">
      <c r="A24" s="735" t="s">
        <v>1312</v>
      </c>
      <c r="B24" s="747"/>
      <c r="C24" s="1213">
        <v>50</v>
      </c>
      <c r="D24" s="1175"/>
      <c r="E24" s="841" t="s">
        <v>1363</v>
      </c>
      <c r="F24" s="747"/>
      <c r="G24" s="1185">
        <v>0.2</v>
      </c>
      <c r="H24" s="1185"/>
      <c r="I24" s="748">
        <v>0.2</v>
      </c>
      <c r="J24" s="748">
        <v>0.2</v>
      </c>
      <c r="K24" s="751">
        <v>0.2</v>
      </c>
      <c r="L24" s="751">
        <v>0.2</v>
      </c>
      <c r="M24" s="751">
        <v>0.2</v>
      </c>
      <c r="N24" s="751">
        <v>0.2</v>
      </c>
      <c r="O24" s="751">
        <v>0.2</v>
      </c>
      <c r="P24" s="751">
        <v>0.2</v>
      </c>
      <c r="Q24" s="751">
        <v>0.2</v>
      </c>
      <c r="T24" s="763">
        <v>500</v>
      </c>
      <c r="U24" s="831"/>
      <c r="V24" s="1027"/>
      <c r="W24" s="1028"/>
      <c r="X24" s="1027"/>
      <c r="Y24" s="1027"/>
      <c r="Z24" s="1027"/>
      <c r="AA24" s="1027"/>
      <c r="AB24" s="1027"/>
      <c r="AC24" s="1027"/>
      <c r="AD24" s="1027"/>
    </row>
    <row r="25" spans="1:30" ht="23.25" customHeight="1">
      <c r="A25" s="735" t="s">
        <v>1313</v>
      </c>
      <c r="B25" s="747"/>
      <c r="C25" s="1217">
        <v>0.2</v>
      </c>
      <c r="D25" s="1177"/>
      <c r="E25" s="841" t="s">
        <v>1370</v>
      </c>
      <c r="F25" s="747"/>
      <c r="G25" s="1185">
        <v>0.2</v>
      </c>
      <c r="H25" s="1185"/>
      <c r="I25" s="748">
        <v>0.2</v>
      </c>
      <c r="J25" s="748">
        <v>0.2</v>
      </c>
      <c r="K25" s="751">
        <v>0.2</v>
      </c>
      <c r="L25" s="751">
        <v>0.2</v>
      </c>
      <c r="M25" s="751">
        <v>0.2</v>
      </c>
      <c r="N25" s="751">
        <v>0.2</v>
      </c>
      <c r="O25" s="751">
        <v>0.2</v>
      </c>
      <c r="P25" s="751">
        <v>0.2</v>
      </c>
      <c r="Q25" s="751">
        <v>0.2</v>
      </c>
      <c r="T25" s="763">
        <v>2600</v>
      </c>
      <c r="U25" s="831"/>
      <c r="V25" s="1029"/>
      <c r="W25" s="1030"/>
      <c r="X25" s="1029"/>
      <c r="Y25" s="1029"/>
      <c r="Z25" s="1029"/>
      <c r="AA25" s="1029"/>
      <c r="AB25" s="1029"/>
      <c r="AC25" s="1029"/>
      <c r="AD25" s="1029"/>
    </row>
    <row r="26" spans="1:30" ht="23.25" customHeight="1">
      <c r="A26" s="731" t="s">
        <v>1314</v>
      </c>
      <c r="B26" s="721"/>
      <c r="C26" s="1212"/>
      <c r="D26" s="1171"/>
      <c r="E26" s="733"/>
      <c r="F26" s="721"/>
      <c r="G26" s="1173"/>
      <c r="H26" s="1173"/>
      <c r="I26" s="732"/>
      <c r="J26" s="732"/>
      <c r="K26" s="734"/>
      <c r="L26" s="734"/>
      <c r="M26" s="734"/>
      <c r="N26" s="734"/>
      <c r="O26" s="734"/>
      <c r="P26" s="734"/>
      <c r="Q26" s="734"/>
      <c r="T26" s="768" t="s">
        <v>1315</v>
      </c>
      <c r="U26" s="1031"/>
      <c r="V26" s="1032">
        <f>'Kais 200 vs Reg 400'!R27-1%</f>
        <v>-0.03</v>
      </c>
      <c r="W26" s="1032">
        <f>'Kais 200 vs Reg 400'!S27-1%</f>
        <v>-3.2000000000000001E-2</v>
      </c>
      <c r="X26" s="1032">
        <f>'Kais 200 vs Reg 400'!T27-1%</f>
        <v>-3.3000000000000002E-2</v>
      </c>
      <c r="Y26" s="1032">
        <f>X26-1.07%</f>
        <v>-4.3700000000000003E-2</v>
      </c>
      <c r="Z26" s="1032">
        <f>Y26-1.25%</f>
        <v>-5.62E-2</v>
      </c>
      <c r="AA26" s="1032">
        <f>Z26-1.2%</f>
        <v>-6.8199999999999997E-2</v>
      </c>
      <c r="AB26" s="1032">
        <f>Y26-0.15%</f>
        <v>-4.5200000000000004E-2</v>
      </c>
      <c r="AC26" s="1032">
        <f>AB26-1.25%</f>
        <v>-5.7700000000000001E-2</v>
      </c>
      <c r="AD26" s="1032">
        <f>AC26-1.22%</f>
        <v>-6.9900000000000004E-2</v>
      </c>
    </row>
    <row r="27" spans="1:30" ht="25.9" customHeight="1">
      <c r="A27" s="735" t="s">
        <v>1316</v>
      </c>
      <c r="B27" s="740"/>
      <c r="C27" s="1213" t="s">
        <v>1317</v>
      </c>
      <c r="D27" s="1175"/>
      <c r="E27" s="771" t="s">
        <v>1317</v>
      </c>
      <c r="F27" s="740"/>
      <c r="G27" s="1191" t="s">
        <v>1319</v>
      </c>
      <c r="H27" s="1191"/>
      <c r="I27" s="770" t="s">
        <v>1319</v>
      </c>
      <c r="J27" s="770" t="s">
        <v>1319</v>
      </c>
      <c r="K27" s="773" t="s">
        <v>1319</v>
      </c>
      <c r="L27" s="770" t="s">
        <v>1317</v>
      </c>
      <c r="M27" s="773" t="s">
        <v>1319</v>
      </c>
      <c r="N27" s="773" t="s">
        <v>1319</v>
      </c>
      <c r="O27" s="773" t="s">
        <v>1319</v>
      </c>
      <c r="P27" s="773" t="s">
        <v>1319</v>
      </c>
      <c r="Q27" s="773" t="s">
        <v>1319</v>
      </c>
    </row>
    <row r="28" spans="1:30" ht="27.75" customHeight="1">
      <c r="A28" s="735" t="s">
        <v>1321</v>
      </c>
      <c r="B28" s="740"/>
      <c r="C28" s="1213" t="s">
        <v>1317</v>
      </c>
      <c r="D28" s="1175"/>
      <c r="E28" s="771" t="s">
        <v>1317</v>
      </c>
      <c r="F28" s="740"/>
      <c r="G28" s="1191" t="s">
        <v>1319</v>
      </c>
      <c r="H28" s="1191"/>
      <c r="I28" s="770" t="s">
        <v>1319</v>
      </c>
      <c r="J28" s="770" t="s">
        <v>1319</v>
      </c>
      <c r="K28" s="773" t="s">
        <v>1319</v>
      </c>
      <c r="L28" s="770" t="s">
        <v>1317</v>
      </c>
      <c r="M28" s="773" t="s">
        <v>1319</v>
      </c>
      <c r="N28" s="773" t="s">
        <v>1319</v>
      </c>
      <c r="O28" s="773" t="s">
        <v>1319</v>
      </c>
      <c r="P28" s="773" t="s">
        <v>1319</v>
      </c>
      <c r="Q28" s="773" t="s">
        <v>1319</v>
      </c>
      <c r="T28" s="840"/>
      <c r="V28" s="1023"/>
      <c r="X28" s="1023"/>
    </row>
    <row r="29" spans="1:30" ht="30" customHeight="1">
      <c r="A29" s="735" t="s">
        <v>1322</v>
      </c>
      <c r="B29" s="740"/>
      <c r="C29" s="1213" t="s">
        <v>1323</v>
      </c>
      <c r="D29" s="1175"/>
      <c r="E29" s="771" t="s">
        <v>1371</v>
      </c>
      <c r="F29" s="740"/>
      <c r="G29" s="1191" t="s">
        <v>1319</v>
      </c>
      <c r="H29" s="1191"/>
      <c r="I29" s="770" t="s">
        <v>1319</v>
      </c>
      <c r="J29" s="770" t="s">
        <v>1319</v>
      </c>
      <c r="K29" s="773" t="s">
        <v>1319</v>
      </c>
      <c r="L29" s="770" t="s">
        <v>1317</v>
      </c>
      <c r="M29" s="773" t="s">
        <v>1319</v>
      </c>
      <c r="N29" s="773" t="s">
        <v>1319</v>
      </c>
      <c r="O29" s="773" t="s">
        <v>1319</v>
      </c>
      <c r="P29" s="773" t="s">
        <v>1319</v>
      </c>
      <c r="Q29" s="773" t="s">
        <v>1319</v>
      </c>
    </row>
    <row r="30" spans="1:30" ht="23.25" customHeight="1">
      <c r="A30" s="774" t="s">
        <v>1324</v>
      </c>
      <c r="B30" s="721"/>
      <c r="C30" s="1218"/>
      <c r="D30" s="1193"/>
      <c r="E30" s="842"/>
      <c r="F30" s="721"/>
      <c r="G30" s="1173"/>
      <c r="H30" s="1173"/>
      <c r="I30" s="732"/>
      <c r="J30" s="732"/>
      <c r="K30" s="734"/>
      <c r="L30" s="734"/>
      <c r="M30" s="734"/>
      <c r="N30" s="734"/>
      <c r="O30" s="734"/>
      <c r="P30" s="734"/>
      <c r="Q30" s="734"/>
      <c r="V30" s="1023"/>
    </row>
    <row r="31" spans="1:30" ht="23.25" customHeight="1">
      <c r="A31" s="777" t="s">
        <v>1325</v>
      </c>
      <c r="B31" s="740"/>
      <c r="C31" s="1213">
        <v>15</v>
      </c>
      <c r="D31" s="1175"/>
      <c r="E31" s="771">
        <v>15</v>
      </c>
      <c r="F31" s="740"/>
      <c r="G31" s="1191">
        <v>10</v>
      </c>
      <c r="H31" s="1191"/>
      <c r="I31" s="770">
        <v>10</v>
      </c>
      <c r="J31" s="770">
        <v>10</v>
      </c>
      <c r="K31" s="773">
        <v>10</v>
      </c>
      <c r="L31" s="773">
        <v>10</v>
      </c>
      <c r="M31" s="773">
        <v>10</v>
      </c>
      <c r="N31" s="773">
        <v>10</v>
      </c>
      <c r="O31" s="773">
        <v>10</v>
      </c>
      <c r="P31" s="773">
        <v>10</v>
      </c>
      <c r="Q31" s="773">
        <v>10</v>
      </c>
    </row>
    <row r="32" spans="1:30" ht="23.25" customHeight="1">
      <c r="A32" s="777" t="s">
        <v>1326</v>
      </c>
      <c r="B32" s="740"/>
      <c r="C32" s="1211">
        <v>30</v>
      </c>
      <c r="D32" s="1167"/>
      <c r="E32" s="743">
        <v>30</v>
      </c>
      <c r="F32" s="740"/>
      <c r="G32" s="1181">
        <v>30</v>
      </c>
      <c r="H32" s="1181"/>
      <c r="I32" s="744">
        <v>30</v>
      </c>
      <c r="J32" s="744">
        <v>30</v>
      </c>
      <c r="K32" s="779">
        <v>30</v>
      </c>
      <c r="L32" s="779">
        <v>30</v>
      </c>
      <c r="M32" s="779">
        <v>30</v>
      </c>
      <c r="N32" s="779">
        <v>30</v>
      </c>
      <c r="O32" s="779">
        <v>30</v>
      </c>
      <c r="P32" s="779">
        <v>30</v>
      </c>
      <c r="Q32" s="779">
        <v>30</v>
      </c>
      <c r="V32" s="1023"/>
    </row>
    <row r="33" spans="1:19" ht="23.25" customHeight="1" thickBot="1">
      <c r="A33" s="780" t="s">
        <v>1328</v>
      </c>
      <c r="B33" s="843"/>
      <c r="C33" s="1219" t="s">
        <v>1329</v>
      </c>
      <c r="D33" s="1195"/>
      <c r="E33" s="844" t="s">
        <v>1329</v>
      </c>
      <c r="F33" s="843"/>
      <c r="G33" s="1197" t="s">
        <v>1329</v>
      </c>
      <c r="H33" s="1197"/>
      <c r="I33" s="845" t="s">
        <v>1329</v>
      </c>
      <c r="J33" s="845" t="s">
        <v>1329</v>
      </c>
      <c r="K33" s="846" t="s">
        <v>1329</v>
      </c>
      <c r="L33" s="846" t="s">
        <v>1329</v>
      </c>
      <c r="M33" s="846" t="s">
        <v>1329</v>
      </c>
      <c r="N33" s="846" t="s">
        <v>1329</v>
      </c>
      <c r="O33" s="846" t="s">
        <v>1329</v>
      </c>
      <c r="P33" s="846" t="s">
        <v>1329</v>
      </c>
      <c r="Q33" s="846" t="s">
        <v>1329</v>
      </c>
    </row>
    <row r="34" spans="1:19" ht="23.25" customHeight="1" thickBot="1">
      <c r="A34" s="785"/>
      <c r="B34" s="847" t="s">
        <v>1330</v>
      </c>
      <c r="C34" s="787">
        <v>2023</v>
      </c>
      <c r="D34" s="848">
        <v>2024</v>
      </c>
      <c r="E34" s="849" t="s">
        <v>1372</v>
      </c>
      <c r="F34" s="847" t="s">
        <v>1333</v>
      </c>
      <c r="G34" s="791">
        <f>'Kais 200 vs Reg 400'!I36</f>
        <v>2024</v>
      </c>
      <c r="H34" s="791">
        <f>'Kais 200 vs Reg 400'!J36</f>
        <v>2025</v>
      </c>
      <c r="I34" s="850" t="s">
        <v>1332</v>
      </c>
      <c r="J34" s="850" t="s">
        <v>1334</v>
      </c>
      <c r="K34" s="851" t="s">
        <v>1335</v>
      </c>
      <c r="L34" s="851" t="s">
        <v>1373</v>
      </c>
      <c r="M34" s="851" t="s">
        <v>1374</v>
      </c>
      <c r="N34" s="851" t="s">
        <v>1375</v>
      </c>
      <c r="O34" s="851" t="s">
        <v>1376</v>
      </c>
      <c r="P34" s="851" t="s">
        <v>1377</v>
      </c>
      <c r="Q34" s="851" t="s">
        <v>1378</v>
      </c>
    </row>
    <row r="35" spans="1:19">
      <c r="A35" s="852" t="s">
        <v>1336</v>
      </c>
      <c r="B35" s="853">
        <v>82</v>
      </c>
      <c r="C35" s="797">
        <f>'Kais 200 vs Reg 400'!D37</f>
        <v>862.83</v>
      </c>
      <c r="D35" s="854">
        <f>'Kais 200 vs Reg 400'!E37</f>
        <v>904.9</v>
      </c>
      <c r="E35" s="855">
        <v>779.38</v>
      </c>
      <c r="F35" s="853">
        <f>'Kais 200 vs Reg 400'!H37</f>
        <v>145</v>
      </c>
      <c r="G35" s="797">
        <f>'Kais 200 vs Reg 400'!I37</f>
        <v>956.55</v>
      </c>
      <c r="H35" s="798">
        <f>'Kais 200 vs Reg 400'!J37</f>
        <v>1048.665765</v>
      </c>
      <c r="I35" s="800">
        <f>SUM(H35*(1+$V$26))</f>
        <v>1017.2057920499999</v>
      </c>
      <c r="J35" s="800">
        <f>SUM(H35*(1+$W$26))</f>
        <v>1015.1084605199999</v>
      </c>
      <c r="K35" s="800">
        <f>SUM(H35*(1+$X$26))</f>
        <v>1014.059794755</v>
      </c>
      <c r="L35" s="800">
        <f>SUM(H35*(1+$Y$26))</f>
        <v>1002.8390710695001</v>
      </c>
      <c r="M35" s="800">
        <f>SUM(H35*(1+$Z$26))</f>
        <v>989.73074900699999</v>
      </c>
      <c r="N35" s="800">
        <f>SUM(H35*(1+$AA$26))</f>
        <v>977.14675982699998</v>
      </c>
      <c r="O35" s="800">
        <f>SUM(H35*(1+$AB$26))</f>
        <v>1001.266072422</v>
      </c>
      <c r="P35" s="800">
        <f>SUM(H35*(1+$AC$26))</f>
        <v>988.15775035950003</v>
      </c>
      <c r="Q35" s="800">
        <f>SUM(H35*(1+$AD$26))</f>
        <v>975.36402802650002</v>
      </c>
    </row>
    <row r="36" spans="1:19">
      <c r="A36" s="856" t="s">
        <v>1337</v>
      </c>
      <c r="B36" s="857">
        <v>56</v>
      </c>
      <c r="C36" s="797">
        <f>'Kais 200 vs Reg 400'!D38</f>
        <v>1725.74</v>
      </c>
      <c r="D36" s="854">
        <f>'Kais 200 vs Reg 400'!E38</f>
        <v>1809.9</v>
      </c>
      <c r="E36" s="858">
        <v>1558.84</v>
      </c>
      <c r="F36" s="853">
        <f>'Kais 200 vs Reg 400'!H38</f>
        <v>91</v>
      </c>
      <c r="G36" s="797">
        <f>'Kais 200 vs Reg 400'!I38</f>
        <v>2010.08</v>
      </c>
      <c r="H36" s="798">
        <f>'Kais 200 vs Reg 400'!J38</f>
        <v>2203.6507040000001</v>
      </c>
      <c r="I36" s="800">
        <f>SUM(H36*(1+$V$26))</f>
        <v>2137.5411828800002</v>
      </c>
      <c r="J36" s="800">
        <f>SUM(H36*(1+$W$26))</f>
        <v>2133.1338814720002</v>
      </c>
      <c r="K36" s="800">
        <f>SUM(H36*(1+$X$26))</f>
        <v>2130.930230768</v>
      </c>
      <c r="L36" s="800">
        <f>SUM(H36*(1+$Y$26))</f>
        <v>2107.3511682352</v>
      </c>
      <c r="M36" s="800">
        <f>SUM(H36*(1+$Z$26))</f>
        <v>2079.8055344352001</v>
      </c>
      <c r="N36" s="800">
        <f>SUM(H36*(1+$AA$26))</f>
        <v>2053.3617259871999</v>
      </c>
      <c r="O36" s="800">
        <f>SUM(H36*(1+$AB$26))</f>
        <v>2104.0456921792002</v>
      </c>
      <c r="P36" s="800">
        <f>SUM(H36*(1+$AC$26))</f>
        <v>2076.5000583792003</v>
      </c>
      <c r="Q36" s="800">
        <f>SUM(H36*(1+$AD$26))</f>
        <v>2049.6155197904004</v>
      </c>
      <c r="S36" s="859"/>
    </row>
    <row r="37" spans="1:19">
      <c r="A37" s="856" t="s">
        <v>1338</v>
      </c>
      <c r="B37" s="857">
        <v>29</v>
      </c>
      <c r="C37" s="797">
        <f>'Kais 200 vs Reg 400'!D39</f>
        <v>1553.26</v>
      </c>
      <c r="D37" s="854">
        <f>'Kais 200 vs Reg 400'!E39</f>
        <v>1629.01</v>
      </c>
      <c r="E37" s="858">
        <v>1403.05</v>
      </c>
      <c r="F37" s="853">
        <f>'Kais 200 vs Reg 400'!H39</f>
        <v>35</v>
      </c>
      <c r="G37" s="797">
        <f>'Kais 200 vs Reg 400'!I39</f>
        <v>1723.03</v>
      </c>
      <c r="H37" s="798">
        <f>'Kais 200 vs Reg 400'!J39</f>
        <v>1888.957789</v>
      </c>
      <c r="I37" s="800">
        <f>SUM(H37*(1+$V$26))</f>
        <v>1832.2890553299999</v>
      </c>
      <c r="J37" s="800">
        <f>SUM(H37*(1+$W$26))</f>
        <v>1828.511139752</v>
      </c>
      <c r="K37" s="800">
        <f>SUM(H37*(1+$X$26))</f>
        <v>1826.622181963</v>
      </c>
      <c r="L37" s="800">
        <f>SUM(H37*(1+$Y$26))</f>
        <v>1806.4103336207002</v>
      </c>
      <c r="M37" s="800">
        <f>SUM(H37*(1+$Z$26))</f>
        <v>1782.7983612582</v>
      </c>
      <c r="N37" s="800">
        <f>SUM(H37*(1+$AA$26))</f>
        <v>1760.1308677902</v>
      </c>
      <c r="O37" s="800">
        <f>SUM(H37*(1+$AB$26))</f>
        <v>1803.5768969372</v>
      </c>
      <c r="P37" s="800">
        <f>SUM(H37*(1+$AC$26))</f>
        <v>1779.9649245747</v>
      </c>
      <c r="Q37" s="800">
        <f>SUM(H37*(1+$AD$26))</f>
        <v>1756.9196395489</v>
      </c>
      <c r="S37" s="859"/>
    </row>
    <row r="38" spans="1:19">
      <c r="A38" s="856" t="s">
        <v>1339</v>
      </c>
      <c r="B38" s="860">
        <v>89</v>
      </c>
      <c r="C38" s="797">
        <f>'Kais 200 vs Reg 400'!D40</f>
        <v>2588.9899999999998</v>
      </c>
      <c r="D38" s="854">
        <f>'Kais 200 vs Reg 400'!E40</f>
        <v>2715.25</v>
      </c>
      <c r="E38" s="858">
        <v>2338.62</v>
      </c>
      <c r="F38" s="853">
        <f>'Kais 200 vs Reg 400'!H40</f>
        <v>182</v>
      </c>
      <c r="G38" s="797">
        <f>'Kais 200 vs Reg 400'!I40</f>
        <v>2776.01</v>
      </c>
      <c r="H38" s="798">
        <f>'Kais 200 vs Reg 400'!J40</f>
        <v>3043.3397630000004</v>
      </c>
      <c r="I38" s="800">
        <f>SUM(H38*(1+$V$26))</f>
        <v>2952.0395701100001</v>
      </c>
      <c r="J38" s="800">
        <f>SUM(H38*(1+$W$26))</f>
        <v>2945.9528905840002</v>
      </c>
      <c r="K38" s="800">
        <f>SUM(H38*(1+$X$26))</f>
        <v>2942.9095508210003</v>
      </c>
      <c r="L38" s="800">
        <f>SUM(H38*(1+$Y$26))</f>
        <v>2910.3458153569004</v>
      </c>
      <c r="M38" s="800">
        <f>SUM(H38*(1+$Z$26))</f>
        <v>2872.3040683194004</v>
      </c>
      <c r="N38" s="800">
        <f>SUM(H38*(1+$AA$26))</f>
        <v>2835.7839911634001</v>
      </c>
      <c r="O38" s="800">
        <f>SUM(H38*(1+$AB$26))</f>
        <v>2905.7808057124003</v>
      </c>
      <c r="P38" s="800">
        <f>SUM(H38*(1+$AC$26))</f>
        <v>2867.7390586749007</v>
      </c>
      <c r="Q38" s="800">
        <f>SUM(H38*(1+$AD$26))</f>
        <v>2830.6103135663006</v>
      </c>
    </row>
    <row r="39" spans="1:19">
      <c r="A39" s="856"/>
      <c r="B39" s="860">
        <f>SUM(B35:B38)</f>
        <v>256</v>
      </c>
      <c r="C39" s="802"/>
      <c r="D39" s="861"/>
      <c r="E39" s="858"/>
      <c r="F39" s="853">
        <f>'Kais 200 vs Reg 400'!H41</f>
        <v>453</v>
      </c>
      <c r="G39" s="802"/>
      <c r="H39" s="803"/>
      <c r="I39" s="809"/>
      <c r="J39" s="809"/>
      <c r="K39" s="810"/>
      <c r="L39" s="810"/>
      <c r="M39" s="810"/>
      <c r="N39" s="810"/>
      <c r="O39" s="810"/>
      <c r="P39" s="810"/>
      <c r="Q39" s="800"/>
    </row>
    <row r="40" spans="1:19">
      <c r="A40" s="862" t="s">
        <v>1340</v>
      </c>
      <c r="B40" s="863"/>
      <c r="C40" s="864">
        <f>((B35*C35)+(B36*C36)+(B37*C37)+(B38*C38))*12</f>
        <v>5314297.8000000007</v>
      </c>
      <c r="D40" s="865">
        <f>((B35*D35)+(B36*D36)+(B37*D37)+(B38*D38))*12</f>
        <v>5573456.8799999999</v>
      </c>
      <c r="E40" s="866">
        <f>((B35*E35)+(B36*E36)+(B37*E37)+(B38*E38))*12</f>
        <v>4800357.959999999</v>
      </c>
      <c r="F40" s="863"/>
      <c r="G40" s="864">
        <f>((F35*G35)+(F36*G36)+(F37*G37)+(F38*G38))*12</f>
        <v>10645882.800000001</v>
      </c>
      <c r="H40" s="865">
        <f>((F35*H35)+(F36*H36)+(F37*H37)+(F38*H38))*12</f>
        <v>11671081.313640002</v>
      </c>
      <c r="I40" s="814">
        <f>((F35*I35)+(F36*I36)+(F37*I37)+(F38*I38))*12</f>
        <v>11320948.8742308</v>
      </c>
      <c r="J40" s="815">
        <f>((F35*J35)+(F36*J36)+(F37*J37)+(F38*J38))*12</f>
        <v>11297606.71160352</v>
      </c>
      <c r="K40" s="817">
        <f t="shared" ref="K40:Q40" si="2">SUMPRODUCT($F$35:$F$38,K35:K38)*12</f>
        <v>11285935.630289882</v>
      </c>
      <c r="L40" s="817">
        <f t="shared" si="2"/>
        <v>11161055.060233932</v>
      </c>
      <c r="M40" s="817">
        <f t="shared" si="2"/>
        <v>11015166.543813433</v>
      </c>
      <c r="N40" s="817">
        <f t="shared" si="2"/>
        <v>10875113.568049751</v>
      </c>
      <c r="O40" s="817">
        <f t="shared" si="2"/>
        <v>11143548.438263472</v>
      </c>
      <c r="P40" s="817">
        <f t="shared" si="2"/>
        <v>10997659.921842974</v>
      </c>
      <c r="Q40" s="817">
        <f t="shared" si="2"/>
        <v>10855272.729816565</v>
      </c>
    </row>
    <row r="41" spans="1:19">
      <c r="A41" s="818" t="s">
        <v>1341</v>
      </c>
      <c r="B41" s="863"/>
      <c r="C41" s="819"/>
      <c r="D41" s="867">
        <f>D40-C40</f>
        <v>259159.07999999914</v>
      </c>
      <c r="E41" s="868">
        <f>E40-C40</f>
        <v>-513939.84000000171</v>
      </c>
      <c r="F41" s="863"/>
      <c r="G41" s="819"/>
      <c r="H41" s="820">
        <f>H40-G40</f>
        <v>1025198.5136400014</v>
      </c>
      <c r="I41" s="821">
        <f>I40-G40</f>
        <v>675066.07423079945</v>
      </c>
      <c r="J41" s="821">
        <f>J40-G40</f>
        <v>651723.91160351969</v>
      </c>
      <c r="K41" s="822">
        <f t="shared" ref="K41:Q41" si="3">K40-$G$40</f>
        <v>640052.83028988168</v>
      </c>
      <c r="L41" s="822">
        <f t="shared" si="3"/>
        <v>515172.26023393124</v>
      </c>
      <c r="M41" s="822">
        <f t="shared" si="3"/>
        <v>369283.74381343275</v>
      </c>
      <c r="N41" s="822">
        <f t="shared" si="3"/>
        <v>229230.76804975048</v>
      </c>
      <c r="O41" s="822">
        <f t="shared" si="3"/>
        <v>497665.63826347142</v>
      </c>
      <c r="P41" s="822">
        <f t="shared" si="3"/>
        <v>351777.12184297293</v>
      </c>
      <c r="Q41" s="822">
        <f t="shared" si="3"/>
        <v>209389.92981656455</v>
      </c>
    </row>
    <row r="42" spans="1:19" ht="13.5" thickBot="1">
      <c r="A42" s="823" t="s">
        <v>1342</v>
      </c>
      <c r="B42" s="869"/>
      <c r="C42" s="825"/>
      <c r="D42" s="1042">
        <f>D40/C40-1</f>
        <v>4.8766382644194195E-2</v>
      </c>
      <c r="E42" s="1043">
        <f>SUM(E40/C40)-1</f>
        <v>-9.6708889742686543E-2</v>
      </c>
      <c r="F42" s="869"/>
      <c r="G42" s="825"/>
      <c r="H42" s="826">
        <f>H40/G40-1</f>
        <v>9.6300000000000052E-2</v>
      </c>
      <c r="I42" s="827">
        <f>I40/G40-1</f>
        <v>6.3410999999999884E-2</v>
      </c>
      <c r="J42" s="827">
        <f>J40/G40-1</f>
        <v>6.1218400000000006E-2</v>
      </c>
      <c r="K42" s="830">
        <f t="shared" ref="K42:Q42" si="4">K40/$G$40-1</f>
        <v>6.0122100000000067E-2</v>
      </c>
      <c r="L42" s="830">
        <f t="shared" si="4"/>
        <v>4.8391689999999876E-2</v>
      </c>
      <c r="M42" s="830">
        <f t="shared" si="4"/>
        <v>3.4687939999999973E-2</v>
      </c>
      <c r="N42" s="830">
        <f t="shared" si="4"/>
        <v>2.1532339999999817E-2</v>
      </c>
      <c r="O42" s="830">
        <f t="shared" si="4"/>
        <v>4.6747239999999968E-2</v>
      </c>
      <c r="P42" s="830">
        <f t="shared" si="4"/>
        <v>3.3043490000000064E-2</v>
      </c>
      <c r="Q42" s="830">
        <f t="shared" si="4"/>
        <v>1.9668629999999965E-2</v>
      </c>
    </row>
    <row r="43" spans="1:19">
      <c r="J43" s="832"/>
      <c r="K43" s="832"/>
      <c r="L43" s="832"/>
      <c r="M43" s="832"/>
      <c r="N43" s="832"/>
      <c r="O43" s="832"/>
      <c r="P43" s="832"/>
      <c r="Q43" s="832"/>
    </row>
  </sheetData>
  <mergeCells count="60">
    <mergeCell ref="C31:D31"/>
    <mergeCell ref="G31:H31"/>
    <mergeCell ref="C32:D32"/>
    <mergeCell ref="G32:H32"/>
    <mergeCell ref="C33:D33"/>
    <mergeCell ref="G33:H33"/>
    <mergeCell ref="C28:D28"/>
    <mergeCell ref="G28:H28"/>
    <mergeCell ref="C29:D29"/>
    <mergeCell ref="G29:H29"/>
    <mergeCell ref="C30:D30"/>
    <mergeCell ref="G30:H30"/>
    <mergeCell ref="C25:D25"/>
    <mergeCell ref="G25:H25"/>
    <mergeCell ref="C26:D26"/>
    <mergeCell ref="G26:H26"/>
    <mergeCell ref="C27:D27"/>
    <mergeCell ref="G27:H27"/>
    <mergeCell ref="C22:D22"/>
    <mergeCell ref="G22:H22"/>
    <mergeCell ref="C23:D23"/>
    <mergeCell ref="G23:H23"/>
    <mergeCell ref="C24:D24"/>
    <mergeCell ref="G24:H24"/>
    <mergeCell ref="C19:D19"/>
    <mergeCell ref="G19:H19"/>
    <mergeCell ref="C20:D20"/>
    <mergeCell ref="G20:H20"/>
    <mergeCell ref="C21:D21"/>
    <mergeCell ref="G21:H21"/>
    <mergeCell ref="C16:D16"/>
    <mergeCell ref="G16:H16"/>
    <mergeCell ref="C17:D17"/>
    <mergeCell ref="G17:H17"/>
    <mergeCell ref="C18:D18"/>
    <mergeCell ref="G18:H18"/>
    <mergeCell ref="C13:D13"/>
    <mergeCell ref="G13:H13"/>
    <mergeCell ref="C14:D14"/>
    <mergeCell ref="G14:H14"/>
    <mergeCell ref="C15:D15"/>
    <mergeCell ref="G15:H15"/>
    <mergeCell ref="C10:D10"/>
    <mergeCell ref="G10:H10"/>
    <mergeCell ref="C11:D11"/>
    <mergeCell ref="G11:H11"/>
    <mergeCell ref="C12:D12"/>
    <mergeCell ref="G12:H12"/>
    <mergeCell ref="C7:D7"/>
    <mergeCell ref="G7:H7"/>
    <mergeCell ref="C8:D8"/>
    <mergeCell ref="G8:H8"/>
    <mergeCell ref="C9:D9"/>
    <mergeCell ref="G9:H9"/>
    <mergeCell ref="C4:D4"/>
    <mergeCell ref="G4:H4"/>
    <mergeCell ref="C5:D5"/>
    <mergeCell ref="G5:H5"/>
    <mergeCell ref="C6:D6"/>
    <mergeCell ref="G6:H6"/>
  </mergeCells>
  <phoneticPr fontId="110" type="noConversion"/>
  <pageMargins left="0.25" right="0.25" top="0.75" bottom="0.75" header="0.3" footer="0.3"/>
  <pageSetup orientation="landscape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3D746-05A3-44FF-AE4F-A638F03FDF69}">
  <dimension ref="A1:AD81"/>
  <sheetViews>
    <sheetView showGridLines="0" zoomScale="115" zoomScaleNormal="115" zoomScaleSheetLayoutView="100" workbookViewId="0">
      <selection activeCell="K17" sqref="K17:L20"/>
    </sheetView>
  </sheetViews>
  <sheetFormatPr defaultColWidth="7" defaultRowHeight="15"/>
  <cols>
    <col min="1" max="1" width="7" style="875"/>
    <col min="2" max="2" width="18.21875" style="875" customWidth="1"/>
    <col min="3" max="3" width="7" style="875" customWidth="1"/>
    <col min="4" max="6" width="11.88671875" style="875" customWidth="1"/>
    <col min="7" max="7" width="9.5546875" style="875" hidden="1" customWidth="1"/>
    <col min="8" max="22" width="11.88671875" style="875" customWidth="1"/>
    <col min="23" max="23" width="8.88671875" style="874" customWidth="1"/>
    <col min="24" max="24" width="9.109375" style="874" customWidth="1"/>
    <col min="25" max="28" width="7" style="874" customWidth="1"/>
    <col min="29" max="30" width="7" style="874"/>
    <col min="31" max="16384" width="7" style="875"/>
  </cols>
  <sheetData>
    <row r="1" spans="1:30" ht="24.95" customHeight="1" thickBot="1">
      <c r="A1" s="979" t="s">
        <v>1379</v>
      </c>
    </row>
    <row r="2" spans="1:30" ht="19.5" thickBot="1">
      <c r="A2" s="870"/>
      <c r="B2" s="871"/>
      <c r="C2" s="872"/>
      <c r="D2" s="1220" t="s">
        <v>1380</v>
      </c>
      <c r="E2" s="1221"/>
      <c r="F2" s="1221"/>
      <c r="G2" s="937"/>
      <c r="H2" s="1222" t="s">
        <v>1381</v>
      </c>
      <c r="I2" s="1223"/>
      <c r="J2" s="1224"/>
      <c r="K2" s="1225" t="s">
        <v>1304</v>
      </c>
      <c r="L2" s="1226"/>
      <c r="M2" s="1226"/>
      <c r="N2" s="1227"/>
      <c r="O2" s="1225" t="s">
        <v>1382</v>
      </c>
      <c r="P2" s="1226"/>
      <c r="Q2" s="1226"/>
      <c r="R2" s="1227"/>
      <c r="S2" s="1225" t="s">
        <v>1383</v>
      </c>
      <c r="T2" s="1226"/>
      <c r="U2" s="1226"/>
      <c r="V2" s="1227"/>
    </row>
    <row r="3" spans="1:30" ht="35.25" customHeight="1" thickBot="1">
      <c r="A3" s="947"/>
      <c r="B3" s="948"/>
      <c r="C3" s="949"/>
      <c r="D3" s="950"/>
      <c r="E3" s="951"/>
      <c r="F3" s="951"/>
      <c r="G3" s="943"/>
      <c r="H3" s="1248" t="s">
        <v>1384</v>
      </c>
      <c r="I3" s="1249"/>
      <c r="J3" s="1250"/>
      <c r="K3" s="955" t="s">
        <v>1385</v>
      </c>
      <c r="L3" s="980">
        <v>0.1</v>
      </c>
      <c r="M3" s="955" t="s">
        <v>1386</v>
      </c>
      <c r="N3" s="980">
        <v>0.2</v>
      </c>
      <c r="O3" s="955" t="s">
        <v>1385</v>
      </c>
      <c r="P3" s="980">
        <v>0.1</v>
      </c>
      <c r="Q3" s="955" t="s">
        <v>1386</v>
      </c>
      <c r="R3" s="980">
        <v>0.15</v>
      </c>
      <c r="S3" s="955" t="s">
        <v>1385</v>
      </c>
      <c r="T3" s="980">
        <v>0.05</v>
      </c>
      <c r="U3" s="955" t="s">
        <v>1386</v>
      </c>
      <c r="V3" s="980">
        <v>0.1</v>
      </c>
    </row>
    <row r="4" spans="1:30" ht="15" customHeight="1">
      <c r="A4" s="876"/>
      <c r="B4" s="1236" t="s">
        <v>95</v>
      </c>
      <c r="C4" s="1236"/>
      <c r="D4" s="877" t="s">
        <v>1260</v>
      </c>
      <c r="E4" s="878" t="s">
        <v>1387</v>
      </c>
      <c r="F4" s="880" t="s">
        <v>1388</v>
      </c>
      <c r="G4" s="938" t="s">
        <v>1389</v>
      </c>
      <c r="H4" s="877" t="s">
        <v>1260</v>
      </c>
      <c r="I4" s="878" t="s">
        <v>1387</v>
      </c>
      <c r="J4" s="879" t="s">
        <v>1388</v>
      </c>
      <c r="K4" s="953" t="s">
        <v>1387</v>
      </c>
      <c r="L4" s="954" t="s">
        <v>1388</v>
      </c>
      <c r="M4" s="956" t="s">
        <v>1390</v>
      </c>
      <c r="N4" s="957" t="s">
        <v>1391</v>
      </c>
      <c r="O4" s="953" t="s">
        <v>1387</v>
      </c>
      <c r="P4" s="954" t="s">
        <v>1388</v>
      </c>
      <c r="Q4" s="956" t="s">
        <v>1390</v>
      </c>
      <c r="R4" s="957" t="s">
        <v>1391</v>
      </c>
      <c r="S4" s="953" t="s">
        <v>1387</v>
      </c>
      <c r="T4" s="954" t="s">
        <v>1388</v>
      </c>
      <c r="U4" s="956" t="s">
        <v>1390</v>
      </c>
      <c r="V4" s="957" t="s">
        <v>1391</v>
      </c>
    </row>
    <row r="5" spans="1:30" ht="15.6" customHeight="1">
      <c r="A5" s="884" t="s">
        <v>1392</v>
      </c>
      <c r="B5" s="885"/>
      <c r="C5" s="886"/>
      <c r="D5" s="1237"/>
      <c r="E5" s="1238"/>
      <c r="F5" s="1238"/>
      <c r="G5" s="939"/>
      <c r="H5" s="1239" t="s">
        <v>79</v>
      </c>
      <c r="I5" s="1240"/>
      <c r="J5" s="1241"/>
      <c r="K5" s="888"/>
      <c r="L5" s="889"/>
      <c r="M5" s="1242" t="s">
        <v>1393</v>
      </c>
      <c r="N5" s="1243"/>
      <c r="O5" s="888"/>
      <c r="P5" s="889"/>
      <c r="Q5" s="1242" t="s">
        <v>1393</v>
      </c>
      <c r="R5" s="1243"/>
      <c r="S5" s="888"/>
      <c r="T5" s="889"/>
      <c r="U5" s="1242" t="s">
        <v>1393</v>
      </c>
      <c r="V5" s="1243"/>
    </row>
    <row r="6" spans="1:30" ht="15.6" customHeight="1">
      <c r="A6" s="891" t="s">
        <v>1394</v>
      </c>
      <c r="B6" s="892"/>
      <c r="C6" s="893">
        <v>145</v>
      </c>
      <c r="D6" s="894">
        <v>956.55</v>
      </c>
      <c r="E6" s="895">
        <f>D6-F6</f>
        <v>852.32999999999993</v>
      </c>
      <c r="F6" s="935">
        <v>104.22</v>
      </c>
      <c r="G6" s="940">
        <f>F6/D6</f>
        <v>0.10895405363023365</v>
      </c>
      <c r="H6" s="894">
        <f>D6*(1+'Kais 200 vs Reg 400'!$J$44)</f>
        <v>1048.665765</v>
      </c>
      <c r="I6" s="895">
        <f>H6-J6</f>
        <v>871.05576499999995</v>
      </c>
      <c r="J6" s="935">
        <v>177.61</v>
      </c>
      <c r="K6" s="894">
        <f>$H6-L6</f>
        <v>943.7991884999999</v>
      </c>
      <c r="L6" s="898">
        <f>H6*L$3</f>
        <v>104.86657650000001</v>
      </c>
      <c r="M6" s="899">
        <f>L6-$J6</f>
        <v>-72.743423500000006</v>
      </c>
      <c r="N6" s="900">
        <f>L6/$J6-1</f>
        <v>-0.40956828725860028</v>
      </c>
      <c r="O6" s="894">
        <f>$H6-P6</f>
        <v>943.7991884999999</v>
      </c>
      <c r="P6" s="898">
        <f>H6*P$3</f>
        <v>104.86657650000001</v>
      </c>
      <c r="Q6" s="899">
        <f>P6-$J6</f>
        <v>-72.743423500000006</v>
      </c>
      <c r="R6" s="900">
        <f>P6/$J6-1</f>
        <v>-0.40956828725860028</v>
      </c>
      <c r="S6" s="894">
        <f>$H6-T6</f>
        <v>996.23247674999993</v>
      </c>
      <c r="T6" s="898">
        <f>$H6*T$3</f>
        <v>52.433288250000004</v>
      </c>
      <c r="U6" s="899">
        <f>T6-$J6</f>
        <v>-125.17671175000001</v>
      </c>
      <c r="V6" s="900">
        <f>T6/$J6-1</f>
        <v>-0.70478414362930009</v>
      </c>
      <c r="W6" s="901"/>
      <c r="X6" s="902"/>
      <c r="AC6" s="902"/>
      <c r="AD6" s="902"/>
    </row>
    <row r="7" spans="1:30" ht="15.6" customHeight="1">
      <c r="A7" s="891" t="s">
        <v>1395</v>
      </c>
      <c r="B7" s="892"/>
      <c r="C7" s="893">
        <v>91</v>
      </c>
      <c r="D7" s="894">
        <v>2010.08</v>
      </c>
      <c r="E7" s="895">
        <f>D7-F7</f>
        <v>1695.1</v>
      </c>
      <c r="F7" s="935">
        <v>314.98</v>
      </c>
      <c r="G7" s="940">
        <f>(F7-$F$6)/(D7-$D$6)</f>
        <v>0.20005125625278827</v>
      </c>
      <c r="H7" s="894">
        <f>D7*(1+'Kais 200 vs Reg 400'!$J$44)</f>
        <v>2203.6507040000001</v>
      </c>
      <c r="I7" s="895">
        <f>H7-J7</f>
        <v>1734.4107040000001</v>
      </c>
      <c r="J7" s="935">
        <v>469.24</v>
      </c>
      <c r="K7" s="894">
        <f>$H7-L7</f>
        <v>1867.7871397000001</v>
      </c>
      <c r="L7" s="898">
        <f>((H7-$H$6)*$N$3)+$L$6</f>
        <v>335.86356430000006</v>
      </c>
      <c r="M7" s="899">
        <f>L7-$J7</f>
        <v>-133.37643569999994</v>
      </c>
      <c r="N7" s="900">
        <f>L7/$J7-1</f>
        <v>-0.28423927137498917</v>
      </c>
      <c r="O7" s="894">
        <f>$H7-P7</f>
        <v>1925.5363866500002</v>
      </c>
      <c r="P7" s="898">
        <f>(($H7-$H$6)*$R$3)+$P$6</f>
        <v>278.11431735000002</v>
      </c>
      <c r="Q7" s="899">
        <f>P7-$J7</f>
        <v>-191.12568264999999</v>
      </c>
      <c r="R7" s="900">
        <f>P7/$J7-1</f>
        <v>-0.40730901596198099</v>
      </c>
      <c r="S7" s="894">
        <f>$H7-T7</f>
        <v>2035.71892185</v>
      </c>
      <c r="T7" s="898">
        <f>(($H7-$H$6)*$V$3)+$T$6</f>
        <v>167.93178215000003</v>
      </c>
      <c r="U7" s="899">
        <f>T7-$J7</f>
        <v>-301.30821785000001</v>
      </c>
      <c r="V7" s="900">
        <f>T7/$J7-1</f>
        <v>-0.64211963568749453</v>
      </c>
      <c r="W7" s="901"/>
      <c r="X7" s="903"/>
      <c r="AC7" s="902"/>
      <c r="AD7" s="902"/>
    </row>
    <row r="8" spans="1:30" ht="15.6" customHeight="1">
      <c r="A8" s="891" t="s">
        <v>1396</v>
      </c>
      <c r="B8" s="892"/>
      <c r="C8" s="893">
        <v>35</v>
      </c>
      <c r="D8" s="894">
        <v>1723.03</v>
      </c>
      <c r="E8" s="895">
        <f>D8-F8</f>
        <v>1465.42</v>
      </c>
      <c r="F8" s="935">
        <v>257.61</v>
      </c>
      <c r="G8" s="940">
        <f>(F8-$F$6)/(D8-$D$6)</f>
        <v>0.20012263855547438</v>
      </c>
      <c r="H8" s="894">
        <f>D8*(1+'Kais 200 vs Reg 400'!$J$44)</f>
        <v>1888.957789</v>
      </c>
      <c r="I8" s="895">
        <f>H8-J8</f>
        <v>1499.1177890000001</v>
      </c>
      <c r="J8" s="935">
        <v>389.84</v>
      </c>
      <c r="K8" s="894">
        <f>$H8-L8</f>
        <v>1616.0328076999999</v>
      </c>
      <c r="L8" s="898">
        <f>((H8-$H$6)*$N$3)+$L$6</f>
        <v>272.92498130000001</v>
      </c>
      <c r="M8" s="899">
        <f>L8-$J8</f>
        <v>-116.91501869999996</v>
      </c>
      <c r="N8" s="900">
        <f>L8/$J8-1</f>
        <v>-0.29990513723578893</v>
      </c>
      <c r="O8" s="894">
        <f>$H8-P8</f>
        <v>1658.0474088999999</v>
      </c>
      <c r="P8" s="898">
        <f>(($H8-$H$6)*$R$3)+$P$6</f>
        <v>230.9103801</v>
      </c>
      <c r="Q8" s="899">
        <f>P8-$J8</f>
        <v>-158.92961989999998</v>
      </c>
      <c r="R8" s="900">
        <f>P8/$J8-1</f>
        <v>-0.40767909886107123</v>
      </c>
      <c r="S8" s="894">
        <f>$H8-T8</f>
        <v>1752.49529835</v>
      </c>
      <c r="T8" s="898">
        <f>(($H8-$H$6)*$V$3)+$T$6</f>
        <v>136.46249065000001</v>
      </c>
      <c r="U8" s="899">
        <f>T8-$J8</f>
        <v>-253.37750934999997</v>
      </c>
      <c r="V8" s="900">
        <f>T8/$J8-1</f>
        <v>-0.64995256861789441</v>
      </c>
      <c r="W8" s="904"/>
      <c r="X8" s="902"/>
      <c r="AC8" s="902"/>
      <c r="AD8" s="902"/>
    </row>
    <row r="9" spans="1:30" ht="15.6" customHeight="1" thickBot="1">
      <c r="A9" s="968" t="s">
        <v>1397</v>
      </c>
      <c r="B9" s="969"/>
      <c r="C9" s="970">
        <v>182</v>
      </c>
      <c r="D9" s="971">
        <v>2776.01</v>
      </c>
      <c r="E9" s="972">
        <f>D9-F9</f>
        <v>2308.04</v>
      </c>
      <c r="F9" s="973">
        <v>467.97</v>
      </c>
      <c r="G9" s="974">
        <f>(F9-$F$6)/(D9-$D$6)</f>
        <v>0.19992195486572936</v>
      </c>
      <c r="H9" s="971">
        <f>D9*(1+'Kais 200 vs Reg 400'!$J$44)</f>
        <v>3043.3397630000004</v>
      </c>
      <c r="I9" s="972">
        <f>H9-J9</f>
        <v>2362.2897630000007</v>
      </c>
      <c r="J9" s="973">
        <v>681.05</v>
      </c>
      <c r="K9" s="971">
        <f>$H9-L9</f>
        <v>2539.5383869000002</v>
      </c>
      <c r="L9" s="975">
        <f>((H9-$H$6)*$N$3)+$L$6</f>
        <v>503.80137610000014</v>
      </c>
      <c r="M9" s="972">
        <f>L9-$J9</f>
        <v>-177.24862389999981</v>
      </c>
      <c r="N9" s="976">
        <f>L9/$J9-1</f>
        <v>-0.26025787225607488</v>
      </c>
      <c r="O9" s="971">
        <f>$H9-P9</f>
        <v>2639.2720868000006</v>
      </c>
      <c r="P9" s="975">
        <f>(($H9-$H$6)*$R$3)+$P$6</f>
        <v>404.06767620000005</v>
      </c>
      <c r="Q9" s="972">
        <f>P9-$J9</f>
        <v>-276.9823237999999</v>
      </c>
      <c r="R9" s="976">
        <f>P9/$J9-1</f>
        <v>-0.40669895573012249</v>
      </c>
      <c r="S9" s="971">
        <f>$H9-T9</f>
        <v>2791.4390749500003</v>
      </c>
      <c r="T9" s="975">
        <f>(($H9-$H$6)*$V$3)+$T$6</f>
        <v>251.90068805000007</v>
      </c>
      <c r="U9" s="972">
        <f>T9-$J9</f>
        <v>-429.14931194999986</v>
      </c>
      <c r="V9" s="976">
        <f>T9/$J9-1</f>
        <v>-0.63012893612803744</v>
      </c>
      <c r="W9" s="904"/>
      <c r="X9" s="902"/>
      <c r="AC9" s="902"/>
      <c r="AD9" s="902"/>
    </row>
    <row r="10" spans="1:30" ht="15.6" customHeight="1">
      <c r="A10" s="958" t="s">
        <v>1398</v>
      </c>
      <c r="B10" s="959"/>
      <c r="C10" s="960">
        <f>SUM(C6:C9)</f>
        <v>453</v>
      </c>
      <c r="D10" s="961">
        <f t="shared" ref="D10:L10" si="0">(D6*$C6)+(D7*$C7)+(D8*$C8)+(D9*$C9)</f>
        <v>887156.90000000014</v>
      </c>
      <c r="E10" s="962">
        <f t="shared" si="0"/>
        <v>749194.92999999993</v>
      </c>
      <c r="F10" s="963">
        <f t="shared" si="0"/>
        <v>137961.97</v>
      </c>
      <c r="G10" s="964"/>
      <c r="H10" s="961" cm="1">
        <f t="array" ref="H10">SUMPRODUCT($C$6:$C$9*H6:H9)</f>
        <v>972590.10947000014</v>
      </c>
      <c r="I10" s="962" cm="1">
        <f t="array" ref="I10">SUMPRODUCT($C$6:$C$9*I6:I9)</f>
        <v>766540.3194700001</v>
      </c>
      <c r="J10" s="963" cm="1">
        <f t="array" ref="J10">SUMPRODUCT($C$6:$C$9*J6:J9)</f>
        <v>206049.78999999998</v>
      </c>
      <c r="K10" s="961" cm="1">
        <f t="array" ref="K10">SUMPRODUCT(K6:K9*C6:C9)</f>
        <v>825576.64673050004</v>
      </c>
      <c r="L10" s="965">
        <f t="shared" si="0"/>
        <v>147013.46273950004</v>
      </c>
      <c r="M10" s="966"/>
      <c r="N10" s="967"/>
      <c r="O10" s="961" cm="1">
        <f t="array" ref="O10">SUMPRODUCT(O6:O9*$C6:$C9)</f>
        <v>850453.87262675015</v>
      </c>
      <c r="P10" s="965" cm="1">
        <f t="array" ref="P10">SUMPRODUCT(P6:P9*$C6:$C9)</f>
        <v>122136.23684325002</v>
      </c>
      <c r="Q10" s="966"/>
      <c r="R10" s="967"/>
      <c r="S10" s="961" cm="1">
        <f t="array" ref="S10">SUMPRODUCT(S6:S9*$C6:$C9)</f>
        <v>899083.37810025015</v>
      </c>
      <c r="T10" s="965" cm="1">
        <f t="array" ref="T10">SUMPRODUCT(T6:T9*$C6:$C9)</f>
        <v>73506.731369750021</v>
      </c>
      <c r="U10" s="966"/>
      <c r="V10" s="967"/>
      <c r="W10" s="904"/>
      <c r="X10" s="903"/>
      <c r="Y10" s="903"/>
      <c r="Z10" s="903"/>
      <c r="AA10" s="903"/>
      <c r="AB10" s="903"/>
      <c r="AC10" s="903"/>
    </row>
    <row r="11" spans="1:30" ht="15.6" customHeight="1">
      <c r="A11" s="1233" t="s">
        <v>1399</v>
      </c>
      <c r="B11" s="1234"/>
      <c r="C11" s="1235"/>
      <c r="D11" s="914">
        <f t="shared" ref="D11:L11" si="1">D10*12</f>
        <v>10645882.800000001</v>
      </c>
      <c r="E11" s="915">
        <f t="shared" si="1"/>
        <v>8990339.1600000001</v>
      </c>
      <c r="F11" s="936">
        <f t="shared" si="1"/>
        <v>1655543.6400000001</v>
      </c>
      <c r="G11" s="941"/>
      <c r="H11" s="914">
        <f t="shared" si="1"/>
        <v>11671081.313640002</v>
      </c>
      <c r="I11" s="915">
        <f t="shared" si="1"/>
        <v>9198483.8336400017</v>
      </c>
      <c r="J11" s="936">
        <f t="shared" si="1"/>
        <v>2472597.4799999995</v>
      </c>
      <c r="K11" s="914">
        <f t="shared" si="1"/>
        <v>9906919.7607659996</v>
      </c>
      <c r="L11" s="916">
        <f t="shared" si="1"/>
        <v>1764161.5528740005</v>
      </c>
      <c r="M11" s="917"/>
      <c r="N11" s="918"/>
      <c r="O11" s="914">
        <f>O10*12</f>
        <v>10205446.471521001</v>
      </c>
      <c r="P11" s="916">
        <f>P10*12</f>
        <v>1465634.8421190004</v>
      </c>
      <c r="Q11" s="917"/>
      <c r="R11" s="918"/>
      <c r="S11" s="914">
        <f>S10*12</f>
        <v>10789000.537203003</v>
      </c>
      <c r="T11" s="916">
        <f>T10*12</f>
        <v>882080.77643700026</v>
      </c>
      <c r="U11" s="917"/>
      <c r="V11" s="918"/>
      <c r="W11" s="904"/>
      <c r="X11" s="903"/>
      <c r="Y11" s="903"/>
      <c r="Z11" s="903"/>
      <c r="AA11" s="903"/>
      <c r="AB11" s="903"/>
      <c r="AC11" s="903"/>
    </row>
    <row r="12" spans="1:30" ht="15.6" customHeight="1">
      <c r="A12" s="1233" t="s">
        <v>1400</v>
      </c>
      <c r="B12" s="1234"/>
      <c r="C12" s="1235"/>
      <c r="D12" s="914"/>
      <c r="E12" s="915"/>
      <c r="F12" s="936"/>
      <c r="G12" s="941"/>
      <c r="H12" s="944">
        <f>H11/D11-1</f>
        <v>9.6300000000000052E-2</v>
      </c>
      <c r="I12" s="945">
        <f>I11/E11-1</f>
        <v>2.3152037974950135E-2</v>
      </c>
      <c r="J12" s="946">
        <f>J11/F11-1</f>
        <v>0.49352600575361416</v>
      </c>
      <c r="K12" s="919">
        <f>K11/E11-1</f>
        <v>0.10195172667612673</v>
      </c>
      <c r="L12" s="920">
        <f>L11/F11-1</f>
        <v>6.5608607498863769E-2</v>
      </c>
      <c r="M12" s="917"/>
      <c r="N12" s="918"/>
      <c r="O12" s="919">
        <f>O11/$E11-1</f>
        <v>0.13515700463529567</v>
      </c>
      <c r="P12" s="920">
        <f>P11/$F11-1</f>
        <v>-0.11471083775296897</v>
      </c>
      <c r="Q12" s="917"/>
      <c r="R12" s="918"/>
      <c r="S12" s="919">
        <f>S11/$E11-1</f>
        <v>0.20006602033498844</v>
      </c>
      <c r="T12" s="920">
        <f>T11/$F11-1</f>
        <v>-0.46719569625056812</v>
      </c>
      <c r="U12" s="917"/>
      <c r="V12" s="918"/>
      <c r="W12" s="904"/>
      <c r="X12" s="903"/>
      <c r="Y12" s="903"/>
      <c r="Z12" s="903"/>
      <c r="AA12" s="903"/>
      <c r="AB12" s="903"/>
      <c r="AC12" s="903"/>
    </row>
    <row r="13" spans="1:30" ht="15.6" customHeight="1">
      <c r="A13" s="1233" t="s">
        <v>1401</v>
      </c>
      <c r="B13" s="1234"/>
      <c r="C13" s="1235"/>
      <c r="D13" s="914"/>
      <c r="E13" s="915"/>
      <c r="F13" s="936"/>
      <c r="G13" s="941"/>
      <c r="H13" s="907">
        <f>H11-D11</f>
        <v>1025198.5136400014</v>
      </c>
      <c r="I13" s="908">
        <f>I11-E11</f>
        <v>208144.67364000157</v>
      </c>
      <c r="J13" s="909">
        <f>J11-F11</f>
        <v>817053.83999999939</v>
      </c>
      <c r="K13" s="908">
        <f>K11-E11</f>
        <v>916580.60076599941</v>
      </c>
      <c r="L13" s="910">
        <f>L11-F11</f>
        <v>108617.91287400038</v>
      </c>
      <c r="M13" s="917"/>
      <c r="N13" s="918"/>
      <c r="O13" s="908">
        <f>O11-$E11</f>
        <v>1215107.3115210012</v>
      </c>
      <c r="P13" s="910">
        <f>P11-$F11</f>
        <v>-189908.79788099974</v>
      </c>
      <c r="Q13" s="917"/>
      <c r="R13" s="918"/>
      <c r="S13" s="908">
        <f>S11-$E11</f>
        <v>1798661.3772030026</v>
      </c>
      <c r="T13" s="910">
        <f>T11-$F11</f>
        <v>-773462.86356299988</v>
      </c>
      <c r="U13" s="917"/>
      <c r="V13" s="918"/>
      <c r="W13" s="904"/>
      <c r="X13" s="903"/>
      <c r="Y13" s="903"/>
      <c r="Z13" s="903"/>
      <c r="AA13" s="903"/>
      <c r="AB13" s="903"/>
      <c r="AC13" s="903"/>
    </row>
    <row r="14" spans="1:30" ht="15.6" customHeight="1">
      <c r="A14" s="981" t="s">
        <v>1402</v>
      </c>
      <c r="B14" s="982"/>
      <c r="C14" s="982"/>
      <c r="D14" s="983"/>
      <c r="E14" s="983"/>
      <c r="F14" s="983"/>
      <c r="G14" s="983"/>
      <c r="H14" s="983"/>
      <c r="I14" s="983"/>
      <c r="J14" s="983"/>
      <c r="K14" s="984">
        <f>K11-$I$11</f>
        <v>708435.92712599784</v>
      </c>
      <c r="L14" s="983">
        <f>L11-$J$11</f>
        <v>-708435.92712599901</v>
      </c>
      <c r="M14" s="985"/>
      <c r="N14" s="985"/>
      <c r="O14" s="984">
        <f>O11-$I$11</f>
        <v>1006962.6378809996</v>
      </c>
      <c r="P14" s="983">
        <f>P11-$J$11</f>
        <v>-1006962.6378809991</v>
      </c>
      <c r="Q14" s="985"/>
      <c r="R14" s="985"/>
      <c r="S14" s="984">
        <f>S11-$I$11</f>
        <v>1590516.703563001</v>
      </c>
      <c r="T14" s="983">
        <f>T11-$J$11</f>
        <v>-1590516.7035629991</v>
      </c>
      <c r="U14" s="985"/>
      <c r="V14" s="985"/>
      <c r="W14" s="904"/>
      <c r="X14" s="903"/>
      <c r="Y14" s="903"/>
      <c r="Z14" s="903"/>
      <c r="AA14" s="903"/>
      <c r="AB14" s="903"/>
      <c r="AC14" s="903"/>
    </row>
    <row r="15" spans="1:30" ht="15.6" customHeight="1">
      <c r="A15" s="912"/>
      <c r="B15" s="913"/>
      <c r="C15" s="913"/>
      <c r="D15" s="915"/>
      <c r="E15" s="915"/>
      <c r="F15" s="915"/>
      <c r="G15" s="915"/>
      <c r="H15" s="915"/>
      <c r="I15" s="915"/>
      <c r="J15" s="915"/>
      <c r="K15" s="915"/>
      <c r="L15" s="915"/>
      <c r="M15" s="978"/>
      <c r="N15" s="978"/>
      <c r="O15" s="915"/>
      <c r="P15" s="915"/>
      <c r="Q15" s="978"/>
      <c r="R15" s="978"/>
      <c r="S15" s="915"/>
      <c r="T15" s="915"/>
      <c r="U15" s="978"/>
      <c r="V15" s="978"/>
      <c r="W15" s="904"/>
      <c r="X15" s="903"/>
      <c r="Y15" s="903"/>
      <c r="Z15" s="903"/>
      <c r="AA15" s="903"/>
      <c r="AB15" s="903"/>
      <c r="AC15" s="903"/>
    </row>
    <row r="16" spans="1:30" ht="15.6" customHeight="1">
      <c r="A16" s="927" t="s">
        <v>1403</v>
      </c>
      <c r="B16" s="928"/>
      <c r="C16" s="929"/>
      <c r="D16" s="1228"/>
      <c r="E16" s="1229"/>
      <c r="F16" s="1229"/>
      <c r="G16" s="942"/>
      <c r="H16" s="1230"/>
      <c r="I16" s="1231"/>
      <c r="J16" s="1232"/>
      <c r="K16" s="930"/>
      <c r="L16" s="931"/>
      <c r="M16" s="1244" t="s">
        <v>1393</v>
      </c>
      <c r="N16" s="1245"/>
      <c r="O16" s="930"/>
      <c r="P16" s="931"/>
      <c r="Q16" s="1244" t="s">
        <v>1393</v>
      </c>
      <c r="R16" s="1245"/>
      <c r="S16" s="930"/>
      <c r="T16" s="931"/>
      <c r="U16" s="1244" t="s">
        <v>1393</v>
      </c>
      <c r="V16" s="1245"/>
      <c r="W16" s="904"/>
    </row>
    <row r="17" spans="1:30" ht="15.6" customHeight="1">
      <c r="A17" s="891" t="s">
        <v>1394</v>
      </c>
      <c r="B17" s="892"/>
      <c r="C17" s="893">
        <f>C6</f>
        <v>145</v>
      </c>
      <c r="D17" s="993">
        <f>D6</f>
        <v>956.55</v>
      </c>
      <c r="E17" s="994">
        <f>E6</f>
        <v>852.32999999999993</v>
      </c>
      <c r="F17" s="995">
        <f>F6</f>
        <v>104.22</v>
      </c>
      <c r="G17" s="940">
        <f>G6</f>
        <v>0.10895405363023365</v>
      </c>
      <c r="H17" s="894">
        <f>D6*(1+'Kais 200 vs Reg 400'!$K$44)</f>
        <v>1002.65571</v>
      </c>
      <c r="I17" s="895">
        <f>H17-J17</f>
        <v>868.70570999999995</v>
      </c>
      <c r="J17" s="1085">
        <v>133.94999999999999</v>
      </c>
      <c r="K17" s="894">
        <f>$H17-L17</f>
        <v>902.39013899999998</v>
      </c>
      <c r="L17" s="898">
        <f>H17*$L$3</f>
        <v>100.26557100000001</v>
      </c>
      <c r="M17" s="899">
        <f>L17-$J$6</f>
        <v>-77.344429000000005</v>
      </c>
      <c r="N17" s="900">
        <f>L17/$J6-1</f>
        <v>-0.43547339113788641</v>
      </c>
      <c r="O17" s="894">
        <f>$H17-P17</f>
        <v>902.39013899999998</v>
      </c>
      <c r="P17" s="898">
        <f>$H$17*$P$3</f>
        <v>100.26557100000001</v>
      </c>
      <c r="Q17" s="899">
        <f>P17-$J$6</f>
        <v>-77.344429000000005</v>
      </c>
      <c r="R17" s="900">
        <f>P17/$J$6-1</f>
        <v>-0.43547339113788641</v>
      </c>
      <c r="S17" s="894">
        <f>$H17-T17</f>
        <v>952.52292450000004</v>
      </c>
      <c r="T17" s="898">
        <f>H17*$T$3</f>
        <v>50.132785500000004</v>
      </c>
      <c r="U17" s="899">
        <f>T17-$J$6</f>
        <v>-127.4772145</v>
      </c>
      <c r="V17" s="900">
        <f>T17/$J6-1</f>
        <v>-0.71773669556894326</v>
      </c>
      <c r="W17" s="901"/>
      <c r="X17" s="932"/>
      <c r="AA17" s="902"/>
      <c r="AD17" s="902"/>
    </row>
    <row r="18" spans="1:30" ht="15.6" customHeight="1">
      <c r="A18" s="891" t="s">
        <v>1395</v>
      </c>
      <c r="B18" s="892"/>
      <c r="C18" s="893">
        <f>C7</f>
        <v>91</v>
      </c>
      <c r="D18" s="993">
        <f t="shared" ref="D18:G22" si="2">D7</f>
        <v>2010.08</v>
      </c>
      <c r="E18" s="994">
        <f t="shared" si="2"/>
        <v>1695.1</v>
      </c>
      <c r="F18" s="995">
        <f t="shared" si="2"/>
        <v>314.98</v>
      </c>
      <c r="G18" s="940">
        <f t="shared" si="2"/>
        <v>0.20005125625278827</v>
      </c>
      <c r="H18" s="894">
        <f>D7*(1+'Kais 200 vs Reg 400'!$K$44)</f>
        <v>2106.9658559999998</v>
      </c>
      <c r="I18" s="895">
        <f>H18-J18</f>
        <v>1729.4758559999998</v>
      </c>
      <c r="J18" s="1085">
        <v>377.49</v>
      </c>
      <c r="K18" s="894">
        <f>$H18-L18</f>
        <v>1785.8382557999998</v>
      </c>
      <c r="L18" s="898">
        <f>(($H$18-$H$17)*$N$3)+$L17</f>
        <v>321.12760019999996</v>
      </c>
      <c r="M18" s="899">
        <f>L18-$J$7</f>
        <v>-148.11239980000005</v>
      </c>
      <c r="N18" s="900">
        <f>L18/$J7-1</f>
        <v>-0.31564316724916897</v>
      </c>
      <c r="O18" s="894">
        <f>$H18-P18</f>
        <v>1841.0537630999997</v>
      </c>
      <c r="P18" s="898">
        <f>(($H$18-$H$17)*$R$3)+$P17</f>
        <v>265.91209289999995</v>
      </c>
      <c r="Q18" s="899">
        <f>P18-$J$7</f>
        <v>-203.32790710000006</v>
      </c>
      <c r="R18" s="900">
        <f>P18/$J$7-1</f>
        <v>-0.43331324503452406</v>
      </c>
      <c r="S18" s="894">
        <f>$H18-T18</f>
        <v>1946.4020558999998</v>
      </c>
      <c r="T18" s="898">
        <f>((H18-H17)*$V$3)+$T17</f>
        <v>160.56380009999998</v>
      </c>
      <c r="U18" s="899">
        <f>T18-$J$7</f>
        <v>-308.67619990000003</v>
      </c>
      <c r="V18" s="900">
        <f>T18/$J7-1</f>
        <v>-0.65782158362458443</v>
      </c>
      <c r="W18" s="901"/>
      <c r="X18" s="932"/>
      <c r="AD18" s="902"/>
    </row>
    <row r="19" spans="1:30" ht="15.6" customHeight="1">
      <c r="A19" s="891" t="s">
        <v>1396</v>
      </c>
      <c r="B19" s="892"/>
      <c r="C19" s="893">
        <f>C8</f>
        <v>35</v>
      </c>
      <c r="D19" s="993">
        <f t="shared" si="2"/>
        <v>1723.03</v>
      </c>
      <c r="E19" s="994">
        <f t="shared" si="2"/>
        <v>1465.42</v>
      </c>
      <c r="F19" s="995">
        <f t="shared" si="2"/>
        <v>257.61</v>
      </c>
      <c r="G19" s="940">
        <f t="shared" si="2"/>
        <v>0.20012263855547438</v>
      </c>
      <c r="H19" s="894">
        <f>D8*(1+'Kais 200 vs Reg 400'!$K$44)</f>
        <v>1806.080046</v>
      </c>
      <c r="I19" s="895">
        <f>H19-J19</f>
        <v>1494.900046</v>
      </c>
      <c r="J19" s="1085">
        <v>311.18</v>
      </c>
      <c r="K19" s="894">
        <f>$H19-L19</f>
        <v>1545.1296078</v>
      </c>
      <c r="L19" s="898">
        <f>(($H$19-$H$17)*$N$3)+$L17</f>
        <v>260.95043820000001</v>
      </c>
      <c r="M19" s="899">
        <f>L19-$J$8</f>
        <v>-128.88956179999997</v>
      </c>
      <c r="N19" s="900">
        <f>L19/$J8-1</f>
        <v>-0.33062169556741217</v>
      </c>
      <c r="O19" s="894">
        <f>$H19-P19</f>
        <v>1585.3008245999999</v>
      </c>
      <c r="P19" s="898">
        <f>(($H$19-$H$17)*$R$3)+$P17</f>
        <v>220.77922140000001</v>
      </c>
      <c r="Q19" s="899">
        <f>P19-$J$8</f>
        <v>-169.06077859999996</v>
      </c>
      <c r="R19" s="900">
        <f>P19/$J$8-1</f>
        <v>-0.43366709060127229</v>
      </c>
      <c r="S19" s="894">
        <f>$H19-T19</f>
        <v>1675.6048269</v>
      </c>
      <c r="T19" s="898">
        <f>((H19-H17)*$V$3)+$T17</f>
        <v>130.4752191</v>
      </c>
      <c r="U19" s="899">
        <f>T19-$J$8</f>
        <v>-259.36478089999997</v>
      </c>
      <c r="V19" s="900">
        <f>T19/$J8-1</f>
        <v>-0.66531084778370608</v>
      </c>
      <c r="W19" s="904"/>
      <c r="X19" s="902"/>
      <c r="AD19" s="902"/>
    </row>
    <row r="20" spans="1:30" ht="15.6" customHeight="1" thickBot="1">
      <c r="A20" s="891" t="s">
        <v>1397</v>
      </c>
      <c r="B20" s="892"/>
      <c r="C20" s="893">
        <f>C9</f>
        <v>182</v>
      </c>
      <c r="D20" s="996">
        <f t="shared" si="2"/>
        <v>2776.01</v>
      </c>
      <c r="E20" s="997">
        <f t="shared" si="2"/>
        <v>2308.04</v>
      </c>
      <c r="F20" s="998">
        <f t="shared" si="2"/>
        <v>467.97</v>
      </c>
      <c r="G20" s="974">
        <f t="shared" si="2"/>
        <v>0.19992195486572936</v>
      </c>
      <c r="H20" s="971">
        <f>D9*(1+'Kais 200 vs Reg 400'!$K$44)</f>
        <v>2909.8136820000004</v>
      </c>
      <c r="I20" s="972">
        <f>H20-J20</f>
        <v>2355.5236820000005</v>
      </c>
      <c r="J20" s="1086">
        <v>554.29</v>
      </c>
      <c r="K20" s="971">
        <f>$H20-L20</f>
        <v>2428.1165166000001</v>
      </c>
      <c r="L20" s="975">
        <f>(($H$20-$H$17)*$N$3)+$L17</f>
        <v>481.69716540000013</v>
      </c>
      <c r="M20" s="972">
        <f>L20-$J$9</f>
        <v>-199.35283459999982</v>
      </c>
      <c r="N20" s="976">
        <f>L20/$J9-1</f>
        <v>-0.29271394846193355</v>
      </c>
      <c r="O20" s="971">
        <f>$H20-P20</f>
        <v>2523.4744152000003</v>
      </c>
      <c r="P20" s="975">
        <f>(($H$20-$H$17)*$R$3)+$P17</f>
        <v>386.33926680000008</v>
      </c>
      <c r="Q20" s="972">
        <f>P20-$J$9</f>
        <v>-294.71073319999988</v>
      </c>
      <c r="R20" s="976">
        <f>P20/$J$9-1</f>
        <v>-0.43272995110491141</v>
      </c>
      <c r="S20" s="971">
        <f>$H20-T20</f>
        <v>2668.9650993000005</v>
      </c>
      <c r="T20" s="975">
        <f>((H20-H17)*$V$3)+$T17</f>
        <v>240.84858270000007</v>
      </c>
      <c r="U20" s="972">
        <f>T20-$J$9</f>
        <v>-440.20141729999989</v>
      </c>
      <c r="V20" s="976">
        <f>T20/$J9-1</f>
        <v>-0.64635697423096672</v>
      </c>
      <c r="W20" s="904"/>
      <c r="X20" s="902"/>
      <c r="AC20" s="902"/>
      <c r="AD20" s="902"/>
    </row>
    <row r="21" spans="1:30" ht="15.6" customHeight="1">
      <c r="A21" s="905" t="s">
        <v>1398</v>
      </c>
      <c r="B21" s="892"/>
      <c r="C21" s="906">
        <f>SUM(C17:C20)</f>
        <v>453</v>
      </c>
      <c r="D21" s="999">
        <f t="shared" si="2"/>
        <v>887156.90000000014</v>
      </c>
      <c r="E21" s="1000">
        <f t="shared" si="2"/>
        <v>749194.92999999993</v>
      </c>
      <c r="F21" s="1001">
        <f t="shared" si="2"/>
        <v>137961.97</v>
      </c>
      <c r="G21" s="964"/>
      <c r="H21" s="961" cm="1">
        <f t="array" ref="H21">SUMPRODUCT($C$6:$C$9*H17:H20)</f>
        <v>929917.86258000019</v>
      </c>
      <c r="I21" s="962" cm="1">
        <f t="array" ref="I21">SUMPRODUCT($C$6:$C$9*I17:I20)</f>
        <v>764371.44258000003</v>
      </c>
      <c r="J21" s="963" cm="1">
        <f t="array" ref="J21">SUMPRODUCT($C$6:$C$9*J17:J20)</f>
        <v>165546.42000000001</v>
      </c>
      <c r="K21" s="961" cm="1">
        <f t="array" ref="K21">SUMPRODUCT(K17:K20*C17:C20)</f>
        <v>789354.59372699994</v>
      </c>
      <c r="L21" s="965" cm="1">
        <f t="array" ref="L21">SUMPRODUCT(L17:L20*C17:C20)</f>
        <v>140563.26885300002</v>
      </c>
      <c r="M21" s="966"/>
      <c r="N21" s="967"/>
      <c r="O21" s="961" cm="1">
        <f t="array" ref="O21">SUMPRODUCT(O17:O20*$C17:$C20)</f>
        <v>813140.33502450003</v>
      </c>
      <c r="P21" s="965" cm="1">
        <f t="array" ref="P21">SUMPRODUCT(P17:P20*$C17:$C20)</f>
        <v>116777.52755550001</v>
      </c>
      <c r="Q21" s="966"/>
      <c r="R21" s="967"/>
      <c r="S21" s="961" cm="1">
        <f t="array" ref="S21">SUMPRODUCT(S17:S20*$C17:$C20)</f>
        <v>859636.22815350001</v>
      </c>
      <c r="T21" s="965" cm="1">
        <f t="array" ref="T21">SUMPRODUCT(T17:T20*$C17:$C20)</f>
        <v>70281.634426500008</v>
      </c>
      <c r="U21" s="966"/>
      <c r="V21" s="967"/>
      <c r="W21" s="904"/>
      <c r="X21" s="903"/>
      <c r="Y21" s="903"/>
      <c r="Z21" s="903"/>
      <c r="AA21" s="903"/>
      <c r="AC21" s="903"/>
    </row>
    <row r="22" spans="1:30" ht="15.6" customHeight="1">
      <c r="A22" s="905" t="s">
        <v>1399</v>
      </c>
      <c r="B22" s="933"/>
      <c r="C22" s="934"/>
      <c r="D22" s="1002">
        <f t="shared" si="2"/>
        <v>10645882.800000001</v>
      </c>
      <c r="E22" s="1003">
        <f t="shared" si="2"/>
        <v>8990339.1600000001</v>
      </c>
      <c r="F22" s="1004">
        <f t="shared" si="2"/>
        <v>1655543.6400000001</v>
      </c>
      <c r="G22" s="941"/>
      <c r="H22" s="914">
        <f>H21*12</f>
        <v>11159014.350960001</v>
      </c>
      <c r="I22" s="915">
        <f>I21*12</f>
        <v>9172457.3109600004</v>
      </c>
      <c r="J22" s="936">
        <f>J21*12</f>
        <v>1986557.04</v>
      </c>
      <c r="K22" s="914">
        <f>K21*12</f>
        <v>9472255.1247239988</v>
      </c>
      <c r="L22" s="916">
        <f>L21*12</f>
        <v>1686759.2262360002</v>
      </c>
      <c r="M22" s="917"/>
      <c r="N22" s="918"/>
      <c r="O22" s="914">
        <f>O21*12</f>
        <v>9757684.0202939995</v>
      </c>
      <c r="P22" s="916">
        <f>P21*12</f>
        <v>1401330.330666</v>
      </c>
      <c r="Q22" s="917"/>
      <c r="R22" s="918"/>
      <c r="S22" s="914">
        <f>S21*12</f>
        <v>10315634.737842001</v>
      </c>
      <c r="T22" s="916">
        <f>T21*12</f>
        <v>843379.6131180001</v>
      </c>
      <c r="U22" s="917"/>
      <c r="V22" s="918"/>
      <c r="W22" s="903"/>
      <c r="X22" s="903"/>
      <c r="Y22" s="903"/>
      <c r="Z22" s="903"/>
      <c r="AA22" s="903"/>
      <c r="AB22" s="903"/>
      <c r="AC22" s="903"/>
    </row>
    <row r="23" spans="1:30" ht="15.6" customHeight="1">
      <c r="A23" s="1233" t="s">
        <v>1400</v>
      </c>
      <c r="B23" s="1234"/>
      <c r="C23" s="1235"/>
      <c r="D23" s="1002"/>
      <c r="E23" s="1003"/>
      <c r="F23" s="1004"/>
      <c r="G23" s="941"/>
      <c r="H23" s="944">
        <f>H22/D22-1</f>
        <v>4.8200000000000021E-2</v>
      </c>
      <c r="I23" s="945">
        <f>I22/E22-1</f>
        <v>2.02570946122127E-2</v>
      </c>
      <c r="J23" s="946">
        <f>J22/F22-1</f>
        <v>0.19994241891442965</v>
      </c>
      <c r="K23" s="919">
        <f>K22/E22-1</f>
        <v>5.3603758005943636E-2</v>
      </c>
      <c r="L23" s="920">
        <f>L22/F22-1</f>
        <v>1.8855187795593364E-2</v>
      </c>
      <c r="M23" s="917"/>
      <c r="N23" s="918"/>
      <c r="O23" s="919">
        <f>O22/E22-1</f>
        <v>8.5352159316534504E-2</v>
      </c>
      <c r="P23" s="920">
        <f>P22/F22-1</f>
        <v>-0.15355276852381861</v>
      </c>
      <c r="Q23" s="917"/>
      <c r="R23" s="918"/>
      <c r="S23" s="919">
        <f>S22/$E22-1</f>
        <v>0.14741330157359722</v>
      </c>
      <c r="T23" s="920">
        <f>T22/$F22-1</f>
        <v>-0.49057240610220332</v>
      </c>
      <c r="U23" s="917"/>
      <c r="V23" s="918"/>
      <c r="W23" s="904"/>
      <c r="X23" s="903"/>
      <c r="Y23" s="903"/>
      <c r="Z23" s="903"/>
      <c r="AA23" s="903"/>
      <c r="AB23" s="903"/>
      <c r="AC23" s="903"/>
    </row>
    <row r="24" spans="1:30" ht="15.6" customHeight="1">
      <c r="A24" s="1233" t="s">
        <v>1401</v>
      </c>
      <c r="B24" s="1234"/>
      <c r="C24" s="1235"/>
      <c r="D24" s="1002"/>
      <c r="E24" s="1003"/>
      <c r="F24" s="1004"/>
      <c r="G24" s="941"/>
      <c r="H24" s="907">
        <f>H22-D22</f>
        <v>513131.5509600006</v>
      </c>
      <c r="I24" s="908">
        <f>I22-E22</f>
        <v>182118.15096000023</v>
      </c>
      <c r="J24" s="909">
        <f>J22-F22</f>
        <v>331013.39999999991</v>
      </c>
      <c r="K24" s="908">
        <f>K22-E22</f>
        <v>481915.96472399868</v>
      </c>
      <c r="L24" s="910">
        <f>L22-F22</f>
        <v>31215.586236000061</v>
      </c>
      <c r="M24" s="917"/>
      <c r="N24" s="918"/>
      <c r="O24" s="908">
        <f>O22-$E22</f>
        <v>767344.86029399931</v>
      </c>
      <c r="P24" s="910">
        <f>P22-$F22</f>
        <v>-254213.30933400011</v>
      </c>
      <c r="Q24" s="917"/>
      <c r="R24" s="918"/>
      <c r="S24" s="908">
        <f>S22-$E22</f>
        <v>1325295.5778420009</v>
      </c>
      <c r="T24" s="910">
        <f>T22-$F22</f>
        <v>-812164.02688200003</v>
      </c>
      <c r="U24" s="917"/>
      <c r="V24" s="918"/>
      <c r="W24" s="904"/>
      <c r="X24" s="903"/>
      <c r="Y24" s="903"/>
      <c r="Z24" s="903"/>
      <c r="AA24" s="903"/>
      <c r="AB24" s="903"/>
      <c r="AC24" s="903"/>
    </row>
    <row r="25" spans="1:30" ht="15.6" customHeight="1">
      <c r="A25" s="981" t="s">
        <v>1402</v>
      </c>
      <c r="B25" s="982"/>
      <c r="C25" s="982"/>
      <c r="D25" s="1005"/>
      <c r="E25" s="1005"/>
      <c r="F25" s="1005"/>
      <c r="G25" s="983"/>
      <c r="H25" s="983">
        <f>H22-$H$11</f>
        <v>-512066.96268000081</v>
      </c>
      <c r="I25" s="986">
        <f>I22-$I$11</f>
        <v>-26026.522680001333</v>
      </c>
      <c r="J25" s="986">
        <f>J22-$J$11</f>
        <v>-486040.43999999948</v>
      </c>
      <c r="K25" s="987">
        <f>K22-$I$11</f>
        <v>273771.29108399712</v>
      </c>
      <c r="L25" s="986">
        <f>L22-$J$11</f>
        <v>-785838.25376399932</v>
      </c>
      <c r="M25" s="988"/>
      <c r="N25" s="988"/>
      <c r="O25" s="987">
        <f>O22-$I$11</f>
        <v>559200.18665399775</v>
      </c>
      <c r="P25" s="986">
        <f>P22-$J$11</f>
        <v>-1071267.1493339995</v>
      </c>
      <c r="Q25" s="985"/>
      <c r="R25" s="985"/>
      <c r="S25" s="987">
        <f>S22-$I$11</f>
        <v>1117150.9042019993</v>
      </c>
      <c r="T25" s="986">
        <f>T22-$J$11</f>
        <v>-1629217.8668819994</v>
      </c>
      <c r="U25" s="985"/>
      <c r="V25" s="985"/>
      <c r="W25" s="904"/>
      <c r="X25" s="903"/>
      <c r="Y25" s="903"/>
      <c r="Z25" s="903"/>
      <c r="AA25" s="903"/>
      <c r="AB25" s="903"/>
      <c r="AC25" s="903"/>
    </row>
    <row r="26" spans="1:30" ht="15.6" customHeight="1">
      <c r="A26" s="912"/>
      <c r="B26" s="913"/>
      <c r="C26" s="913"/>
      <c r="D26" s="1003"/>
      <c r="E26" s="1003"/>
      <c r="F26" s="1003"/>
      <c r="G26" s="915"/>
      <c r="H26" s="915"/>
      <c r="I26" s="915"/>
      <c r="J26" s="915"/>
      <c r="K26" s="915"/>
      <c r="L26" s="915"/>
      <c r="M26" s="978"/>
      <c r="N26" s="978"/>
      <c r="O26" s="915"/>
      <c r="P26" s="915"/>
      <c r="Q26" s="978"/>
      <c r="R26" s="978"/>
      <c r="S26" s="915"/>
      <c r="T26" s="915"/>
      <c r="U26" s="978"/>
      <c r="V26" s="978"/>
      <c r="W26" s="904"/>
      <c r="X26" s="903"/>
      <c r="Y26" s="903"/>
      <c r="Z26" s="903"/>
      <c r="AA26" s="903"/>
      <c r="AB26" s="903"/>
      <c r="AC26" s="903"/>
    </row>
    <row r="27" spans="1:30" ht="15.6" hidden="1" customHeight="1">
      <c r="A27" s="927" t="s">
        <v>1404</v>
      </c>
      <c r="B27" s="928"/>
      <c r="C27" s="929"/>
      <c r="D27" s="1246"/>
      <c r="E27" s="1247"/>
      <c r="F27" s="1247"/>
      <c r="G27" s="942"/>
      <c r="H27" s="1230"/>
      <c r="I27" s="1231"/>
      <c r="J27" s="1232"/>
      <c r="K27" s="930"/>
      <c r="L27" s="931"/>
      <c r="M27" s="1244" t="s">
        <v>1393</v>
      </c>
      <c r="N27" s="1245"/>
      <c r="O27" s="930"/>
      <c r="P27" s="931"/>
      <c r="Q27" s="1244" t="s">
        <v>1393</v>
      </c>
      <c r="R27" s="1245"/>
      <c r="S27" s="930"/>
      <c r="T27" s="931"/>
      <c r="U27" s="1244" t="s">
        <v>1393</v>
      </c>
      <c r="V27" s="1245"/>
      <c r="W27" s="904"/>
    </row>
    <row r="28" spans="1:30" ht="15.6" hidden="1" customHeight="1">
      <c r="A28" s="891" t="s">
        <v>1394</v>
      </c>
      <c r="B28" s="892"/>
      <c r="C28" s="893">
        <f t="shared" ref="C28:G31" si="3">C17</f>
        <v>145</v>
      </c>
      <c r="D28" s="993">
        <f t="shared" si="3"/>
        <v>956.55</v>
      </c>
      <c r="E28" s="994">
        <f t="shared" si="3"/>
        <v>852.32999999999993</v>
      </c>
      <c r="F28" s="995">
        <f t="shared" si="3"/>
        <v>104.22</v>
      </c>
      <c r="G28" s="940">
        <f t="shared" si="3"/>
        <v>0.10895405363023365</v>
      </c>
      <c r="H28" s="894">
        <f>'Kais 200 vs Reg 400'!L37</f>
        <v>1027.6216649999999</v>
      </c>
      <c r="I28" s="895">
        <f>H28-J28</f>
        <v>915.65811899999994</v>
      </c>
      <c r="J28" s="1019">
        <f>H28*G28</f>
        <v>111.96354599999999</v>
      </c>
      <c r="K28" s="894">
        <f>$H28-L28</f>
        <v>924.85949849999986</v>
      </c>
      <c r="L28" s="898">
        <f>H28*$L$3</f>
        <v>102.76216649999999</v>
      </c>
      <c r="M28" s="899">
        <f>L28-$J$6</f>
        <v>-74.847833500000021</v>
      </c>
      <c r="N28" s="900">
        <f>L28/$J$6-1</f>
        <v>-0.42141677551939649</v>
      </c>
      <c r="O28" s="894">
        <f>$H28-P28</f>
        <v>924.85949849999986</v>
      </c>
      <c r="P28" s="898">
        <f>$H$28*$P$3</f>
        <v>102.76216649999999</v>
      </c>
      <c r="Q28" s="899">
        <f>P28-$J$6</f>
        <v>-74.847833500000021</v>
      </c>
      <c r="R28" s="900">
        <f>P28/$J$6-1</f>
        <v>-0.42141677551939649</v>
      </c>
      <c r="S28" s="894">
        <f>$H28-T28</f>
        <v>976.24058174999993</v>
      </c>
      <c r="T28" s="898">
        <f>H28*$T$3</f>
        <v>51.381083249999996</v>
      </c>
      <c r="U28" s="899">
        <f>T28-$J$6</f>
        <v>-126.22891675000002</v>
      </c>
      <c r="V28" s="900">
        <f>T28/$J$6-1</f>
        <v>-0.71070838775969825</v>
      </c>
      <c r="W28" s="901"/>
      <c r="X28" s="932"/>
      <c r="AA28" s="902"/>
      <c r="AD28" s="902"/>
    </row>
    <row r="29" spans="1:30" ht="15.6" hidden="1" customHeight="1">
      <c r="A29" s="891" t="s">
        <v>1395</v>
      </c>
      <c r="B29" s="892"/>
      <c r="C29" s="893">
        <f t="shared" si="3"/>
        <v>91</v>
      </c>
      <c r="D29" s="993">
        <f t="shared" si="3"/>
        <v>2010.08</v>
      </c>
      <c r="E29" s="994">
        <f t="shared" si="3"/>
        <v>1695.1</v>
      </c>
      <c r="F29" s="995">
        <f t="shared" si="3"/>
        <v>314.98</v>
      </c>
      <c r="G29" s="940">
        <f t="shared" si="3"/>
        <v>0.20005125625278827</v>
      </c>
      <c r="H29" s="894">
        <f>'Kais 200 vs Reg 400'!L38</f>
        <v>2159.4289439999998</v>
      </c>
      <c r="I29" s="895">
        <f>H29-J29</f>
        <v>1821.0459299999998</v>
      </c>
      <c r="J29" s="1019">
        <f>((H29-H$28)*G29)+J$28</f>
        <v>338.383014</v>
      </c>
      <c r="K29" s="894">
        <f>$H29-L29</f>
        <v>1830.3053216999997</v>
      </c>
      <c r="L29" s="898">
        <f>(($H$29-$H$28)*$N$3)+$L28</f>
        <v>329.12362229999997</v>
      </c>
      <c r="M29" s="899">
        <f>L29-$J$7</f>
        <v>-140.11637770000004</v>
      </c>
      <c r="N29" s="900">
        <f>L29/$J$7-1</f>
        <v>-0.29860279963344993</v>
      </c>
      <c r="O29" s="894">
        <f>$H29-P29</f>
        <v>1886.8956856499999</v>
      </c>
      <c r="P29" s="898">
        <f>(($H$29-$H$28)*$R$3)+$P28</f>
        <v>272.53325834999998</v>
      </c>
      <c r="Q29" s="899">
        <f>P29-$J$7</f>
        <v>-196.70674165000003</v>
      </c>
      <c r="R29" s="900">
        <f>P29/$J$7-1</f>
        <v>-0.41920284214900694</v>
      </c>
      <c r="S29" s="894">
        <f>$H29-T29</f>
        <v>1994.8671328499997</v>
      </c>
      <c r="T29" s="898">
        <f>((H29-H28)*$V$3)+$T28</f>
        <v>164.56181114999998</v>
      </c>
      <c r="U29" s="899">
        <f>T29-$J$7</f>
        <v>-304.67818885000003</v>
      </c>
      <c r="V29" s="900">
        <f>T29/$J$7-1</f>
        <v>-0.64930139981672497</v>
      </c>
      <c r="W29" s="901"/>
      <c r="X29" s="932"/>
      <c r="AD29" s="902"/>
    </row>
    <row r="30" spans="1:30" ht="15.6" hidden="1" customHeight="1">
      <c r="A30" s="891" t="s">
        <v>1396</v>
      </c>
      <c r="B30" s="892"/>
      <c r="C30" s="893">
        <f t="shared" si="3"/>
        <v>35</v>
      </c>
      <c r="D30" s="993">
        <f t="shared" si="3"/>
        <v>1723.03</v>
      </c>
      <c r="E30" s="994">
        <f t="shared" si="3"/>
        <v>1465.42</v>
      </c>
      <c r="F30" s="995">
        <f t="shared" si="3"/>
        <v>257.61</v>
      </c>
      <c r="G30" s="940">
        <f t="shared" si="3"/>
        <v>0.20012263855547438</v>
      </c>
      <c r="H30" s="894">
        <f>'Kais 200 vs Reg 400'!L39</f>
        <v>1851.0511289999999</v>
      </c>
      <c r="I30" s="895">
        <f>H30-J30</f>
        <v>1574.300706</v>
      </c>
      <c r="J30" s="1019">
        <f>((H30-H$28)*G30)+J$28</f>
        <v>276.75042300000001</v>
      </c>
      <c r="K30" s="894">
        <f>$H30-L30</f>
        <v>1583.6030696999999</v>
      </c>
      <c r="L30" s="898">
        <f>(($H$30-$H$28)*$N$3)+$L28</f>
        <v>267.44805930000001</v>
      </c>
      <c r="M30" s="899">
        <f>L30-$J$8</f>
        <v>-122.39194069999996</v>
      </c>
      <c r="N30" s="900">
        <f>L30/$J$8-1</f>
        <v>-0.3139542907346603</v>
      </c>
      <c r="O30" s="894">
        <f>$H30-P30</f>
        <v>1624.7745428999999</v>
      </c>
      <c r="P30" s="898">
        <f>(($H$30-$H$28)*$R$3)+$P28</f>
        <v>226.27658609999997</v>
      </c>
      <c r="Q30" s="899">
        <f>P30-$J$8</f>
        <v>-163.5634139</v>
      </c>
      <c r="R30" s="900">
        <f>P30/$J$8-1</f>
        <v>-0.419565498409604</v>
      </c>
      <c r="S30" s="894">
        <f>$H30-T30</f>
        <v>1717.32709935</v>
      </c>
      <c r="T30" s="898">
        <f>((H30-H28)*$V$3)+$T28</f>
        <v>133.72402965000001</v>
      </c>
      <c r="U30" s="899">
        <f>T30-$J$8</f>
        <v>-256.11597035</v>
      </c>
      <c r="V30" s="900">
        <f>T30/$J$8-1</f>
        <v>-0.6569771453673301</v>
      </c>
      <c r="W30" s="904"/>
      <c r="X30" s="902"/>
      <c r="AD30" s="902"/>
    </row>
    <row r="31" spans="1:30" ht="15.6" hidden="1" customHeight="1" thickBot="1">
      <c r="A31" s="891" t="s">
        <v>1397</v>
      </c>
      <c r="B31" s="892"/>
      <c r="C31" s="893">
        <f t="shared" si="3"/>
        <v>182</v>
      </c>
      <c r="D31" s="996">
        <f t="shared" si="3"/>
        <v>2776.01</v>
      </c>
      <c r="E31" s="997">
        <f t="shared" si="3"/>
        <v>2308.04</v>
      </c>
      <c r="F31" s="998">
        <f t="shared" si="3"/>
        <v>467.97</v>
      </c>
      <c r="G31" s="974">
        <f t="shared" si="3"/>
        <v>0.19992195486572936</v>
      </c>
      <c r="H31" s="971">
        <f>'Kais 200 vs Reg 400'!L40</f>
        <v>2982.2675430000004</v>
      </c>
      <c r="I31" s="972">
        <f>H31-J31</f>
        <v>2479.5273720000005</v>
      </c>
      <c r="J31" s="1020">
        <f>((H31-H$28)*G31)+J$28</f>
        <v>502.74017100000003</v>
      </c>
      <c r="K31" s="971">
        <f>$H31-L31</f>
        <v>2488.5762009000005</v>
      </c>
      <c r="L31" s="975">
        <f>(($H$31-$H$28)*$N$3)+$L28</f>
        <v>493.6913421000001</v>
      </c>
      <c r="M31" s="972">
        <f>L31-$J$9</f>
        <v>-187.35865789999986</v>
      </c>
      <c r="N31" s="976">
        <f>L31/$J9-1</f>
        <v>-0.27510264723588562</v>
      </c>
      <c r="O31" s="971">
        <f>$H31-P31</f>
        <v>2586.3084948000005</v>
      </c>
      <c r="P31" s="975">
        <f>(($H$31-$H$28)*$R$3)+$P28</f>
        <v>395.95904820000004</v>
      </c>
      <c r="Q31" s="972">
        <f>P31-$J$9</f>
        <v>-285.09095179999991</v>
      </c>
      <c r="R31" s="976">
        <f>P31/$J$9-1</f>
        <v>-0.418605024300712</v>
      </c>
      <c r="S31" s="971">
        <f>$H31-T31</f>
        <v>2735.4218719500004</v>
      </c>
      <c r="T31" s="975">
        <f>((H31-H28)*$V$3)+$T28</f>
        <v>246.84567105000005</v>
      </c>
      <c r="U31" s="972">
        <f>T31-$J$9</f>
        <v>-434.20432894999988</v>
      </c>
      <c r="V31" s="976">
        <f>T31/$J$9-1</f>
        <v>-0.63755132361794287</v>
      </c>
      <c r="W31" s="904"/>
      <c r="X31" s="902"/>
      <c r="AC31" s="902"/>
      <c r="AD31" s="902"/>
    </row>
    <row r="32" spans="1:30" ht="15.6" hidden="1" customHeight="1">
      <c r="A32" s="905" t="s">
        <v>1398</v>
      </c>
      <c r="B32" s="892"/>
      <c r="C32" s="906">
        <f>SUM(C28:C31)</f>
        <v>453</v>
      </c>
      <c r="D32" s="999">
        <f t="shared" ref="D32:F33" si="4">D21</f>
        <v>887156.90000000014</v>
      </c>
      <c r="E32" s="1000">
        <f t="shared" si="4"/>
        <v>749194.92999999993</v>
      </c>
      <c r="F32" s="1001">
        <f t="shared" si="4"/>
        <v>137961.97</v>
      </c>
      <c r="G32" s="964"/>
      <c r="H32" s="961" cm="1">
        <f t="array" ref="H32">SUMPRODUCT($C$6:$C$9*H28:H31)</f>
        <v>953072.6576700001</v>
      </c>
      <c r="I32" s="962" cm="1">
        <f t="array" ref="I32">SUMPRODUCT($C$6:$C$9*I28:I31)</f>
        <v>804860.11329900008</v>
      </c>
      <c r="J32" s="963" cm="1">
        <f t="array" ref="J32">SUMPRODUCT($C$6:$C$9*J28:J31)</f>
        <v>148212.54437100003</v>
      </c>
      <c r="K32" s="961" cm="1">
        <f t="array" ref="K32">SUMPRODUCT(K28:K31*C28:C31)</f>
        <v>809009.38756050006</v>
      </c>
      <c r="L32" s="965" cm="1">
        <f t="array" ref="L32">SUMPRODUCT(L28:L31*C28:C31)</f>
        <v>144063.27010950004</v>
      </c>
      <c r="M32" s="966"/>
      <c r="N32" s="967"/>
      <c r="O32" s="961" cm="1">
        <f t="array" ref="O32">SUMPRODUCT(O28:O31*$C28:$C31)</f>
        <v>833387.38973175001</v>
      </c>
      <c r="P32" s="965" cm="1">
        <f t="array" ref="P32">SUMPRODUCT(P28:P31*$C28:$C31)</f>
        <v>119685.26793825001</v>
      </c>
      <c r="Q32" s="966"/>
      <c r="R32" s="967"/>
      <c r="S32" s="961" cm="1">
        <f t="array" ref="S32">SUMPRODUCT(S28:S31*$C28:$C31)</f>
        <v>881041.02261524997</v>
      </c>
      <c r="T32" s="965" cm="1">
        <f t="array" ref="T32">SUMPRODUCT(T28:T31*$C28:$C31)</f>
        <v>72031.635054750019</v>
      </c>
      <c r="U32" s="966"/>
      <c r="V32" s="967"/>
      <c r="W32" s="904"/>
      <c r="X32" s="903"/>
      <c r="Y32" s="903"/>
      <c r="Z32" s="903"/>
      <c r="AA32" s="903"/>
      <c r="AC32" s="903"/>
    </row>
    <row r="33" spans="1:30" ht="15.6" hidden="1" customHeight="1">
      <c r="A33" s="905" t="s">
        <v>1399</v>
      </c>
      <c r="B33" s="933"/>
      <c r="C33" s="934"/>
      <c r="D33" s="1002">
        <f t="shared" si="4"/>
        <v>10645882.800000001</v>
      </c>
      <c r="E33" s="1003">
        <f t="shared" si="4"/>
        <v>8990339.1600000001</v>
      </c>
      <c r="F33" s="1004">
        <f t="shared" si="4"/>
        <v>1655543.6400000001</v>
      </c>
      <c r="G33" s="941"/>
      <c r="H33" s="914">
        <f>H32*12</f>
        <v>11436871.892040001</v>
      </c>
      <c r="I33" s="915">
        <f>I32*12</f>
        <v>9658321.3595880009</v>
      </c>
      <c r="J33" s="936">
        <f>J32*12</f>
        <v>1778550.5324520003</v>
      </c>
      <c r="K33" s="914">
        <f>K32*12</f>
        <v>9708112.6507260017</v>
      </c>
      <c r="L33" s="916">
        <f>L32*12</f>
        <v>1728759.2413140005</v>
      </c>
      <c r="M33" s="917"/>
      <c r="N33" s="918"/>
      <c r="O33" s="914">
        <f>O32*12</f>
        <v>10000648.676781001</v>
      </c>
      <c r="P33" s="916">
        <f>P32*12</f>
        <v>1436223.2152590002</v>
      </c>
      <c r="Q33" s="917"/>
      <c r="R33" s="918"/>
      <c r="S33" s="914">
        <f>S32*12</f>
        <v>10572492.271382999</v>
      </c>
      <c r="T33" s="916">
        <f>T32*12</f>
        <v>864379.62065700023</v>
      </c>
      <c r="U33" s="917"/>
      <c r="V33" s="918"/>
      <c r="W33" s="903"/>
      <c r="X33" s="903"/>
      <c r="Y33" s="903"/>
      <c r="Z33" s="903"/>
      <c r="AA33" s="903"/>
      <c r="AB33" s="903"/>
      <c r="AC33" s="903"/>
    </row>
    <row r="34" spans="1:30" ht="15.6" hidden="1" customHeight="1">
      <c r="A34" s="1233" t="s">
        <v>1400</v>
      </c>
      <c r="B34" s="1234"/>
      <c r="C34" s="1235"/>
      <c r="D34" s="1002"/>
      <c r="E34" s="1003"/>
      <c r="F34" s="1004"/>
      <c r="G34" s="941"/>
      <c r="H34" s="944">
        <f>H33/D33-1</f>
        <v>7.4300000000000033E-2</v>
      </c>
      <c r="I34" s="945">
        <f>I33/E33-1</f>
        <v>7.4300000000000033E-2</v>
      </c>
      <c r="J34" s="946">
        <f>J33/F33-1</f>
        <v>7.4300000000000033E-2</v>
      </c>
      <c r="K34" s="919">
        <f>K33/E33-1</f>
        <v>7.9838310652342592E-2</v>
      </c>
      <c r="L34" s="920">
        <f>L33/F33-1</f>
        <v>4.4224507010881542E-2</v>
      </c>
      <c r="M34" s="917"/>
      <c r="N34" s="918"/>
      <c r="O34" s="919">
        <f>O33/E33-1</f>
        <v>0.11237724170363794</v>
      </c>
      <c r="P34" s="920">
        <f>P33/F33-1</f>
        <v>-0.1324763778144803</v>
      </c>
      <c r="Q34" s="917"/>
      <c r="R34" s="918"/>
      <c r="S34" s="919">
        <f>S33/$E33-1</f>
        <v>0.17598369574557826</v>
      </c>
      <c r="T34" s="920">
        <f>T33/$F33-1</f>
        <v>-0.47788774649455923</v>
      </c>
      <c r="U34" s="917"/>
      <c r="V34" s="918"/>
      <c r="W34" s="904"/>
      <c r="X34" s="903"/>
      <c r="Y34" s="903"/>
      <c r="Z34" s="903"/>
      <c r="AA34" s="903"/>
      <c r="AB34" s="903"/>
      <c r="AC34" s="903"/>
    </row>
    <row r="35" spans="1:30" ht="15.6" hidden="1" customHeight="1">
      <c r="A35" s="1233" t="s">
        <v>1401</v>
      </c>
      <c r="B35" s="1234"/>
      <c r="C35" s="1235"/>
      <c r="D35" s="1002"/>
      <c r="E35" s="1003"/>
      <c r="F35" s="1004"/>
      <c r="G35" s="941"/>
      <c r="H35" s="907">
        <f>H33-D33</f>
        <v>790989.09204000048</v>
      </c>
      <c r="I35" s="908">
        <f>I33-E33</f>
        <v>667982.19958800077</v>
      </c>
      <c r="J35" s="909">
        <f>J33-F33</f>
        <v>123006.89245200017</v>
      </c>
      <c r="K35" s="908">
        <f>K33-E33</f>
        <v>717773.49072600156</v>
      </c>
      <c r="L35" s="910">
        <f>L33-F33</f>
        <v>73215.60131400032</v>
      </c>
      <c r="M35" s="917"/>
      <c r="N35" s="918"/>
      <c r="O35" s="908">
        <f>O33-$E33</f>
        <v>1010309.5167810004</v>
      </c>
      <c r="P35" s="910">
        <f>P33-$F33</f>
        <v>-219320.42474099994</v>
      </c>
      <c r="Q35" s="917"/>
      <c r="R35" s="918"/>
      <c r="S35" s="908">
        <f>S33-$E33</f>
        <v>1582153.1113829985</v>
      </c>
      <c r="T35" s="910">
        <f>T33-$F33</f>
        <v>-791164.01934299991</v>
      </c>
      <c r="U35" s="917"/>
      <c r="V35" s="918"/>
      <c r="W35" s="904"/>
      <c r="X35" s="903"/>
      <c r="Y35" s="903"/>
      <c r="Z35" s="903"/>
      <c r="AA35" s="903"/>
      <c r="AB35" s="903"/>
      <c r="AC35" s="903"/>
    </row>
    <row r="36" spans="1:30" ht="15.6" hidden="1" customHeight="1">
      <c r="A36" s="981" t="s">
        <v>1402</v>
      </c>
      <c r="B36" s="982"/>
      <c r="C36" s="982"/>
      <c r="D36" s="1005"/>
      <c r="E36" s="1005"/>
      <c r="F36" s="1005"/>
      <c r="G36" s="983"/>
      <c r="H36" s="983">
        <f>H33-$H$11</f>
        <v>-234209.42160000093</v>
      </c>
      <c r="I36" s="986">
        <f>I33-$I$11</f>
        <v>459837.52594799921</v>
      </c>
      <c r="J36" s="986">
        <f>J33-$J$11</f>
        <v>-694046.94754799921</v>
      </c>
      <c r="K36" s="987">
        <f>K33-$I$11</f>
        <v>509628.817086</v>
      </c>
      <c r="L36" s="986">
        <f>L33-$J$11</f>
        <v>-743838.23868599907</v>
      </c>
      <c r="M36" s="988"/>
      <c r="N36" s="988"/>
      <c r="O36" s="987">
        <f>O33-$I$11</f>
        <v>802164.84314099886</v>
      </c>
      <c r="P36" s="986">
        <f>P33-$J$11</f>
        <v>-1036374.2647409993</v>
      </c>
      <c r="Q36" s="985"/>
      <c r="R36" s="985"/>
      <c r="S36" s="987">
        <f>S33-$I$11</f>
        <v>1374008.437742997</v>
      </c>
      <c r="T36" s="986">
        <f>T33-$J$11</f>
        <v>-1608217.8593429993</v>
      </c>
      <c r="U36" s="985"/>
      <c r="V36" s="985"/>
      <c r="W36" s="904"/>
      <c r="X36" s="903"/>
      <c r="Y36" s="903"/>
      <c r="Z36" s="903"/>
      <c r="AA36" s="903"/>
      <c r="AB36" s="903"/>
      <c r="AC36" s="903"/>
    </row>
    <row r="37" spans="1:30" ht="15.6" hidden="1" customHeight="1">
      <c r="A37" s="912"/>
      <c r="B37" s="913"/>
      <c r="C37" s="913"/>
      <c r="D37" s="1003"/>
      <c r="E37" s="1003"/>
      <c r="F37" s="1003"/>
      <c r="G37" s="915"/>
      <c r="H37" s="915"/>
      <c r="I37" s="915"/>
      <c r="J37" s="915"/>
      <c r="K37" s="915"/>
      <c r="L37" s="915"/>
      <c r="M37" s="978"/>
      <c r="N37" s="978"/>
      <c r="O37" s="915"/>
      <c r="P37" s="915"/>
      <c r="Q37" s="978"/>
      <c r="R37" s="978"/>
      <c r="S37" s="915"/>
      <c r="T37" s="915"/>
      <c r="U37" s="978"/>
      <c r="V37" s="978"/>
      <c r="W37" s="904"/>
      <c r="X37" s="903"/>
      <c r="Y37" s="903"/>
      <c r="Z37" s="903"/>
      <c r="AA37" s="903"/>
      <c r="AB37" s="903"/>
      <c r="AC37" s="903"/>
    </row>
    <row r="38" spans="1:30" ht="15.6" hidden="1" customHeight="1">
      <c r="A38" s="927" t="s">
        <v>1405</v>
      </c>
      <c r="B38" s="928"/>
      <c r="C38" s="929"/>
      <c r="D38" s="1246"/>
      <c r="E38" s="1247"/>
      <c r="F38" s="1247"/>
      <c r="G38" s="942"/>
      <c r="H38" s="1230"/>
      <c r="I38" s="1231"/>
      <c r="J38" s="1232"/>
      <c r="K38" s="930"/>
      <c r="L38" s="931"/>
      <c r="M38" s="1244" t="s">
        <v>1393</v>
      </c>
      <c r="N38" s="1245"/>
      <c r="O38" s="930"/>
      <c r="P38" s="931"/>
      <c r="Q38" s="1244" t="s">
        <v>1393</v>
      </c>
      <c r="R38" s="1245"/>
      <c r="S38" s="930"/>
      <c r="T38" s="931"/>
      <c r="U38" s="1244" t="s">
        <v>1393</v>
      </c>
      <c r="V38" s="1245"/>
      <c r="W38" s="904"/>
    </row>
    <row r="39" spans="1:30" ht="15.6" hidden="1" customHeight="1">
      <c r="A39" s="891" t="s">
        <v>1394</v>
      </c>
      <c r="B39" s="892"/>
      <c r="C39" s="893">
        <f t="shared" ref="C39:G42" si="5">C28</f>
        <v>145</v>
      </c>
      <c r="D39" s="993">
        <f t="shared" si="5"/>
        <v>956.55</v>
      </c>
      <c r="E39" s="994">
        <f t="shared" si="5"/>
        <v>852.32999999999993</v>
      </c>
      <c r="F39" s="995">
        <f t="shared" si="5"/>
        <v>104.22</v>
      </c>
      <c r="G39" s="940">
        <f t="shared" si="5"/>
        <v>0.10895405363023365</v>
      </c>
      <c r="H39" s="894">
        <f>'Kais 200 vs Reg 400'!M37</f>
        <v>1026.6651149999998</v>
      </c>
      <c r="I39" s="895">
        <f>H39-J39</f>
        <v>914.80578899999978</v>
      </c>
      <c r="J39" s="1019">
        <f>H39*G39</f>
        <v>111.85932599999998</v>
      </c>
      <c r="K39" s="894">
        <f>$H39-L39</f>
        <v>923.99860349999983</v>
      </c>
      <c r="L39" s="898">
        <f>H39*$L$3</f>
        <v>102.66651149999998</v>
      </c>
      <c r="M39" s="899">
        <f>L39-$J$6</f>
        <v>-74.943488500000029</v>
      </c>
      <c r="N39" s="900">
        <f>L39/$J$6-1</f>
        <v>-0.42195534316761452</v>
      </c>
      <c r="O39" s="894">
        <f>$H39-P39</f>
        <v>923.99860349999983</v>
      </c>
      <c r="P39" s="898">
        <f>$H$39*$P$3</f>
        <v>102.66651149999998</v>
      </c>
      <c r="Q39" s="899">
        <f>P39-$J$6</f>
        <v>-74.943488500000029</v>
      </c>
      <c r="R39" s="900">
        <f>P39/$J$6-1</f>
        <v>-0.42195534316761452</v>
      </c>
      <c r="S39" s="894">
        <f>$H39-T39</f>
        <v>975.33185924999975</v>
      </c>
      <c r="T39" s="898">
        <f>H39*$T$3</f>
        <v>51.333255749999992</v>
      </c>
      <c r="U39" s="899">
        <f>T39-$J$6</f>
        <v>-126.27674425000002</v>
      </c>
      <c r="V39" s="900">
        <f>T39/$J$6-1</f>
        <v>-0.7109776715838072</v>
      </c>
      <c r="W39" s="901"/>
      <c r="X39" s="932"/>
      <c r="AA39" s="902"/>
      <c r="AD39" s="902"/>
    </row>
    <row r="40" spans="1:30" ht="15.6" hidden="1" customHeight="1">
      <c r="A40" s="891" t="s">
        <v>1395</v>
      </c>
      <c r="B40" s="892"/>
      <c r="C40" s="893">
        <f t="shared" si="5"/>
        <v>91</v>
      </c>
      <c r="D40" s="993">
        <f t="shared" si="5"/>
        <v>2010.08</v>
      </c>
      <c r="E40" s="994">
        <f t="shared" si="5"/>
        <v>1695.1</v>
      </c>
      <c r="F40" s="995">
        <f t="shared" si="5"/>
        <v>314.98</v>
      </c>
      <c r="G40" s="940">
        <f t="shared" si="5"/>
        <v>0.20005125625278827</v>
      </c>
      <c r="H40" s="894">
        <f>'Kais 200 vs Reg 400'!M38</f>
        <v>2157.4188639999998</v>
      </c>
      <c r="I40" s="895">
        <f>H40-J40</f>
        <v>1819.4379690291685</v>
      </c>
      <c r="J40" s="1019">
        <f>((H40-H$28)*G40)+J$28</f>
        <v>337.9808949708314</v>
      </c>
      <c r="K40" s="894">
        <f>$H40-L40</f>
        <v>1828.6016026999998</v>
      </c>
      <c r="L40" s="898">
        <f>((H40-H39)*$N$3)+$L39</f>
        <v>328.81726129999998</v>
      </c>
      <c r="M40" s="899">
        <f>L40-$J$7</f>
        <v>-140.42273870000002</v>
      </c>
      <c r="N40" s="900">
        <f>L40/$J$7-1</f>
        <v>-0.29925568728156171</v>
      </c>
      <c r="O40" s="894">
        <f>$H40-P40</f>
        <v>1885.1392901499999</v>
      </c>
      <c r="P40" s="898">
        <f>(($H$40-$H$39)*$R$3)+$P39</f>
        <v>272.27957384999996</v>
      </c>
      <c r="Q40" s="899">
        <f>P40-$J$7</f>
        <v>-196.96042615000005</v>
      </c>
      <c r="R40" s="900">
        <f>P40/$J$7-1</f>
        <v>-0.41974347061205364</v>
      </c>
      <c r="S40" s="894">
        <f>$H40-T40</f>
        <v>1993.0102333499997</v>
      </c>
      <c r="T40" s="898">
        <f>((H40-H39)*$V$3)+$T39</f>
        <v>164.40863064999999</v>
      </c>
      <c r="U40" s="899">
        <f>T40-$J$7</f>
        <v>-304.83136935000005</v>
      </c>
      <c r="V40" s="900">
        <f>T40/$J$7-1</f>
        <v>-0.64962784364078086</v>
      </c>
      <c r="W40" s="901"/>
      <c r="X40" s="932"/>
      <c r="AD40" s="902"/>
    </row>
    <row r="41" spans="1:30" ht="15.6" hidden="1" customHeight="1">
      <c r="A41" s="891" t="s">
        <v>1396</v>
      </c>
      <c r="B41" s="892"/>
      <c r="C41" s="893">
        <f t="shared" si="5"/>
        <v>35</v>
      </c>
      <c r="D41" s="993">
        <f t="shared" si="5"/>
        <v>1723.03</v>
      </c>
      <c r="E41" s="994">
        <f t="shared" si="5"/>
        <v>1465.42</v>
      </c>
      <c r="F41" s="995">
        <f t="shared" si="5"/>
        <v>257.61</v>
      </c>
      <c r="G41" s="940">
        <f t="shared" si="5"/>
        <v>0.20012263855547438</v>
      </c>
      <c r="H41" s="894">
        <f>'Kais 200 vs Reg 400'!M39</f>
        <v>1849.3280989999998</v>
      </c>
      <c r="I41" s="895">
        <f>H41-J41</f>
        <v>1572.9224933099101</v>
      </c>
      <c r="J41" s="1019">
        <f>((H41-H$28)*G41)+J$28</f>
        <v>276.40560569008977</v>
      </c>
      <c r="K41" s="894">
        <f>$H41-L41</f>
        <v>1582.1289906999998</v>
      </c>
      <c r="L41" s="898">
        <f>((H41-H39)*$N$3)+$L39</f>
        <v>267.19910830000003</v>
      </c>
      <c r="M41" s="899">
        <f>L41-$J$8</f>
        <v>-122.64089169999994</v>
      </c>
      <c r="N41" s="900">
        <f>L41/$J$8-1</f>
        <v>-0.31459288862097257</v>
      </c>
      <c r="O41" s="894">
        <f>$H41-P41</f>
        <v>1623.2621399</v>
      </c>
      <c r="P41" s="898">
        <f>(($H$41-$H$39)*$R$3)+$P39</f>
        <v>226.06595909999999</v>
      </c>
      <c r="Q41" s="899">
        <f>P41-$J$8</f>
        <v>-163.77404089999999</v>
      </c>
      <c r="R41" s="900">
        <f>P41/$J$8-1</f>
        <v>-0.42010578929817366</v>
      </c>
      <c r="S41" s="894">
        <f>$H41-T41</f>
        <v>1715.7285448499997</v>
      </c>
      <c r="T41" s="898">
        <f>((H41-H39)*$V$3)+$T39</f>
        <v>133.59955415000002</v>
      </c>
      <c r="U41" s="899">
        <f>T41-$J$8</f>
        <v>-256.24044584999996</v>
      </c>
      <c r="V41" s="900">
        <f>T41/$J$8-1</f>
        <v>-0.65729644431048628</v>
      </c>
      <c r="W41" s="904"/>
      <c r="X41" s="902"/>
      <c r="AD41" s="902"/>
    </row>
    <row r="42" spans="1:30" ht="15.6" hidden="1" customHeight="1" thickBot="1">
      <c r="A42" s="891" t="s">
        <v>1397</v>
      </c>
      <c r="B42" s="892"/>
      <c r="C42" s="893">
        <f t="shared" si="5"/>
        <v>182</v>
      </c>
      <c r="D42" s="996">
        <f t="shared" si="5"/>
        <v>2776.01</v>
      </c>
      <c r="E42" s="997">
        <f t="shared" si="5"/>
        <v>2308.04</v>
      </c>
      <c r="F42" s="998">
        <f t="shared" si="5"/>
        <v>467.97</v>
      </c>
      <c r="G42" s="974">
        <f t="shared" si="5"/>
        <v>0.19992195486572936</v>
      </c>
      <c r="H42" s="971">
        <f>'Kais 200 vs Reg 400'!M40</f>
        <v>2979.4915329999999</v>
      </c>
      <c r="I42" s="972">
        <f>H42-J42</f>
        <v>2477.306347345927</v>
      </c>
      <c r="J42" s="1020">
        <f>((H42-H$28)*G42)+J$28</f>
        <v>502.18518565407311</v>
      </c>
      <c r="K42" s="971">
        <f>$H42-L42</f>
        <v>2486.2597378999999</v>
      </c>
      <c r="L42" s="975">
        <f>((H42-H39)*$N$3)+$L39</f>
        <v>493.2317951</v>
      </c>
      <c r="M42" s="972">
        <f>L42-$J$9</f>
        <v>-187.81820489999996</v>
      </c>
      <c r="N42" s="976">
        <f>L42/$J20-1</f>
        <v>-0.11015570351260162</v>
      </c>
      <c r="O42" s="971">
        <f>$H42-P42</f>
        <v>2583.9010588000001</v>
      </c>
      <c r="P42" s="975">
        <f>(($H$42-$H$39)*$R$3)+$P39</f>
        <v>395.59047420000002</v>
      </c>
      <c r="Q42" s="972">
        <f>P42-$J$9</f>
        <v>-285.45952579999994</v>
      </c>
      <c r="R42" s="976">
        <f>P42/$J$9-1</f>
        <v>-0.41914620923573886</v>
      </c>
      <c r="S42" s="971">
        <f>$H42-T42</f>
        <v>2732.8756354500001</v>
      </c>
      <c r="T42" s="975">
        <f>((H42-H39)*$V$3)+$T39</f>
        <v>246.61589755</v>
      </c>
      <c r="U42" s="972">
        <f>T42-$J$9</f>
        <v>-434.43410244999995</v>
      </c>
      <c r="V42" s="976">
        <f>T42/$J$9-1</f>
        <v>-0.63788870486748395</v>
      </c>
      <c r="W42" s="904"/>
      <c r="X42" s="902"/>
      <c r="AC42" s="902"/>
      <c r="AD42" s="902"/>
    </row>
    <row r="43" spans="1:30" ht="15.6" hidden="1" customHeight="1">
      <c r="A43" s="905" t="s">
        <v>1398</v>
      </c>
      <c r="B43" s="892"/>
      <c r="C43" s="906">
        <f>SUM(C39:C42)</f>
        <v>453</v>
      </c>
      <c r="D43" s="999">
        <f t="shared" ref="D43:F44" si="6">D32</f>
        <v>887156.90000000014</v>
      </c>
      <c r="E43" s="1000">
        <f t="shared" si="6"/>
        <v>749194.92999999993</v>
      </c>
      <c r="F43" s="1001">
        <f t="shared" si="6"/>
        <v>137961.97</v>
      </c>
      <c r="G43" s="964"/>
      <c r="H43" s="961" cm="1">
        <f t="array" ref="H43">SUMPRODUCT($C$6:$C$9*H39:H42)</f>
        <v>952185.50076999993</v>
      </c>
      <c r="I43" s="962" cm="1">
        <f t="array" ref="I43">SUMPRODUCT($C$6:$C$9*I39:I42)</f>
        <v>804137.73706945986</v>
      </c>
      <c r="J43" s="963" cm="1">
        <f t="array" ref="J43">SUMPRODUCT($C$6:$C$9*J39:J42)</f>
        <v>148047.76370054012</v>
      </c>
      <c r="K43" s="961" cm="1">
        <f t="array" ref="K43">SUMPRODUCT(K39:K42*C39:C42)</f>
        <v>808256.33032549988</v>
      </c>
      <c r="L43" s="965" cm="1">
        <f t="array" ref="L43">SUMPRODUCT(L39:L42*C39:C42)</f>
        <v>143929.17044449999</v>
      </c>
      <c r="M43" s="966"/>
      <c r="N43" s="967"/>
      <c r="O43" s="961" cm="1">
        <f t="array" ref="O43">SUMPRODUCT(O39:O42*$C39:$C42)</f>
        <v>832611.64050924999</v>
      </c>
      <c r="P43" s="965" cm="1">
        <f t="array" ref="P43">SUMPRODUCT(P39:P42*$C39:$C42)</f>
        <v>119573.86026074999</v>
      </c>
      <c r="Q43" s="966"/>
      <c r="R43" s="967"/>
      <c r="S43" s="961" cm="1">
        <f t="array" ref="S43">SUMPRODUCT(S39:S42*$C39:$C42)</f>
        <v>880220.91554774996</v>
      </c>
      <c r="T43" s="965" cm="1">
        <f t="array" ref="T43">SUMPRODUCT(T39:T42*$C39:$C42)</f>
        <v>71964.585222249996</v>
      </c>
      <c r="U43" s="966"/>
      <c r="V43" s="967"/>
      <c r="W43" s="904"/>
      <c r="X43" s="903"/>
      <c r="Y43" s="903"/>
      <c r="Z43" s="903"/>
      <c r="AA43" s="903"/>
      <c r="AC43" s="903"/>
    </row>
    <row r="44" spans="1:30" ht="15.6" hidden="1" customHeight="1">
      <c r="A44" s="905" t="s">
        <v>1399</v>
      </c>
      <c r="B44" s="933"/>
      <c r="C44" s="934"/>
      <c r="D44" s="1002">
        <f t="shared" si="6"/>
        <v>10645882.800000001</v>
      </c>
      <c r="E44" s="1003">
        <f t="shared" si="6"/>
        <v>8990339.1600000001</v>
      </c>
      <c r="F44" s="1004">
        <f t="shared" si="6"/>
        <v>1655543.6400000001</v>
      </c>
      <c r="G44" s="941"/>
      <c r="H44" s="914">
        <f>H43*12</f>
        <v>11426226.00924</v>
      </c>
      <c r="I44" s="915">
        <f>I43*12</f>
        <v>9649652.8448335193</v>
      </c>
      <c r="J44" s="936">
        <f>J43*12</f>
        <v>1776573.1644064814</v>
      </c>
      <c r="K44" s="914">
        <f>K43*12</f>
        <v>9699075.9639059976</v>
      </c>
      <c r="L44" s="916">
        <f>L43*12</f>
        <v>1727150.0453339999</v>
      </c>
      <c r="M44" s="917"/>
      <c r="N44" s="918"/>
      <c r="O44" s="914">
        <f>O43*12</f>
        <v>9991339.6861109994</v>
      </c>
      <c r="P44" s="916">
        <f>P43*12</f>
        <v>1434886.3231289999</v>
      </c>
      <c r="Q44" s="917"/>
      <c r="R44" s="918"/>
      <c r="S44" s="914">
        <f>S43*12</f>
        <v>10562650.986573</v>
      </c>
      <c r="T44" s="916">
        <f>T43*12</f>
        <v>863575.02266699995</v>
      </c>
      <c r="U44" s="917"/>
      <c r="V44" s="918"/>
      <c r="W44" s="903"/>
      <c r="X44" s="903"/>
      <c r="Y44" s="903"/>
      <c r="Z44" s="903"/>
      <c r="AA44" s="903"/>
      <c r="AB44" s="903"/>
      <c r="AC44" s="903"/>
    </row>
    <row r="45" spans="1:30" ht="15.6" hidden="1" customHeight="1">
      <c r="A45" s="1233" t="s">
        <v>1400</v>
      </c>
      <c r="B45" s="1234"/>
      <c r="C45" s="1235"/>
      <c r="D45" s="1002"/>
      <c r="E45" s="1003"/>
      <c r="F45" s="1004"/>
      <c r="G45" s="941"/>
      <c r="H45" s="944">
        <f>H44/D44-1</f>
        <v>7.3299999999999921E-2</v>
      </c>
      <c r="I45" s="945">
        <f>I44/E44-1</f>
        <v>7.3335796692404198E-2</v>
      </c>
      <c r="J45" s="946">
        <f>J44/F44-1</f>
        <v>7.3105608020384905E-2</v>
      </c>
      <c r="K45" s="919">
        <f>K44/E44-1</f>
        <v>7.8833155378533748E-2</v>
      </c>
      <c r="L45" s="920">
        <f>L44/F44-1</f>
        <v>4.3252502443245744E-2</v>
      </c>
      <c r="M45" s="917"/>
      <c r="N45" s="918"/>
      <c r="O45" s="919">
        <f>O44/E44-1</f>
        <v>0.11134179793401699</v>
      </c>
      <c r="P45" s="920">
        <f>P44/F44-1</f>
        <v>-0.13328390236273091</v>
      </c>
      <c r="Q45" s="917"/>
      <c r="R45" s="918"/>
      <c r="S45" s="919">
        <f>S44/$E44-1</f>
        <v>0.17488904462787791</v>
      </c>
      <c r="T45" s="920">
        <f>T44/$F44-1</f>
        <v>-0.47837374877837713</v>
      </c>
      <c r="U45" s="917"/>
      <c r="V45" s="918"/>
      <c r="W45" s="904"/>
      <c r="X45" s="903"/>
      <c r="Y45" s="903"/>
      <c r="Z45" s="903"/>
      <c r="AA45" s="903"/>
      <c r="AB45" s="903"/>
      <c r="AC45" s="903"/>
    </row>
    <row r="46" spans="1:30" ht="15.6" hidden="1" customHeight="1">
      <c r="A46" s="1233" t="s">
        <v>1401</v>
      </c>
      <c r="B46" s="1234"/>
      <c r="C46" s="1235"/>
      <c r="D46" s="1002"/>
      <c r="E46" s="1003"/>
      <c r="F46" s="1004"/>
      <c r="G46" s="941"/>
      <c r="H46" s="907">
        <f>H44-D44</f>
        <v>780343.20923999883</v>
      </c>
      <c r="I46" s="908">
        <f>I44-E44</f>
        <v>659313.68483351916</v>
      </c>
      <c r="J46" s="909">
        <f>J44-F44</f>
        <v>121029.5244064813</v>
      </c>
      <c r="K46" s="908">
        <f>K44-E44</f>
        <v>708736.80390599743</v>
      </c>
      <c r="L46" s="910">
        <f>L44-F44</f>
        <v>71606.405333999777</v>
      </c>
      <c r="M46" s="917"/>
      <c r="N46" s="918"/>
      <c r="O46" s="908">
        <f>O44-$E44</f>
        <v>1001000.5261109993</v>
      </c>
      <c r="P46" s="910">
        <f>P44-$F44</f>
        <v>-220657.31687100022</v>
      </c>
      <c r="Q46" s="917"/>
      <c r="R46" s="918"/>
      <c r="S46" s="908">
        <f>S44-$E44</f>
        <v>1572311.8265729994</v>
      </c>
      <c r="T46" s="910">
        <f>T44-$F44</f>
        <v>-791968.61733300018</v>
      </c>
      <c r="U46" s="917"/>
      <c r="V46" s="918"/>
      <c r="W46" s="904"/>
      <c r="X46" s="903"/>
      <c r="Y46" s="903"/>
      <c r="Z46" s="903"/>
      <c r="AA46" s="903"/>
      <c r="AB46" s="903"/>
      <c r="AC46" s="903"/>
    </row>
    <row r="47" spans="1:30" ht="15.6" hidden="1" customHeight="1">
      <c r="A47" s="981" t="s">
        <v>1402</v>
      </c>
      <c r="B47" s="982"/>
      <c r="C47" s="982"/>
      <c r="D47" s="1005"/>
      <c r="E47" s="1005"/>
      <c r="F47" s="1005"/>
      <c r="G47" s="983"/>
      <c r="H47" s="983">
        <f>H44-$H$11</f>
        <v>-244855.30440000258</v>
      </c>
      <c r="I47" s="986">
        <f>I44-$I$11</f>
        <v>451169.0111935176</v>
      </c>
      <c r="J47" s="986">
        <f>J44-$J$11</f>
        <v>-696024.31559351808</v>
      </c>
      <c r="K47" s="987">
        <f>K44-$I$11</f>
        <v>500592.13026599586</v>
      </c>
      <c r="L47" s="986">
        <f>L44-$J$11</f>
        <v>-745447.43466599961</v>
      </c>
      <c r="M47" s="988"/>
      <c r="N47" s="988"/>
      <c r="O47" s="987">
        <f>O44-$I$11</f>
        <v>792855.85247099772</v>
      </c>
      <c r="P47" s="986">
        <f>P44-$J$11</f>
        <v>-1037711.1568709996</v>
      </c>
      <c r="Q47" s="985"/>
      <c r="R47" s="985"/>
      <c r="S47" s="987">
        <f>S44-$I$11</f>
        <v>1364167.1529329978</v>
      </c>
      <c r="T47" s="986">
        <f>T44-$J$11</f>
        <v>-1609022.4573329994</v>
      </c>
      <c r="U47" s="985"/>
      <c r="V47" s="985"/>
      <c r="W47" s="904"/>
      <c r="X47" s="903"/>
      <c r="Y47" s="903"/>
      <c r="Z47" s="903"/>
      <c r="AA47" s="903"/>
      <c r="AB47" s="903"/>
      <c r="AC47" s="903"/>
    </row>
    <row r="48" spans="1:30" ht="20.25" hidden="1">
      <c r="A48" s="925"/>
      <c r="D48" s="1006"/>
      <c r="E48" s="1006"/>
      <c r="F48" s="1006"/>
    </row>
    <row r="49" spans="1:30" ht="15.6" hidden="1" customHeight="1">
      <c r="A49" s="927" t="s">
        <v>1406</v>
      </c>
      <c r="B49" s="928"/>
      <c r="C49" s="929"/>
      <c r="D49" s="1246"/>
      <c r="E49" s="1247"/>
      <c r="F49" s="1247"/>
      <c r="G49" s="942"/>
      <c r="H49" s="1230"/>
      <c r="I49" s="1231"/>
      <c r="J49" s="1232"/>
      <c r="K49" s="930"/>
      <c r="L49" s="931"/>
      <c r="M49" s="1244" t="s">
        <v>1393</v>
      </c>
      <c r="N49" s="1245"/>
      <c r="O49" s="930"/>
      <c r="P49" s="931"/>
      <c r="Q49" s="1244" t="s">
        <v>1393</v>
      </c>
      <c r="R49" s="1245"/>
      <c r="S49" s="930"/>
      <c r="T49" s="931"/>
      <c r="U49" s="1244" t="s">
        <v>1393</v>
      </c>
      <c r="V49" s="1245"/>
      <c r="W49" s="904"/>
    </row>
    <row r="50" spans="1:30" ht="15.6" hidden="1" customHeight="1">
      <c r="A50" s="891" t="s">
        <v>1394</v>
      </c>
      <c r="B50" s="892"/>
      <c r="C50" s="893">
        <f t="shared" ref="C50:G53" si="7">C39</f>
        <v>145</v>
      </c>
      <c r="D50" s="993">
        <f t="shared" si="7"/>
        <v>956.55</v>
      </c>
      <c r="E50" s="994">
        <f t="shared" si="7"/>
        <v>852.32999999999993</v>
      </c>
      <c r="F50" s="995">
        <f t="shared" si="7"/>
        <v>104.22</v>
      </c>
      <c r="G50" s="940">
        <f t="shared" si="7"/>
        <v>0.10895405363023365</v>
      </c>
      <c r="H50" s="894">
        <f>'Kais 500 vs Reg 500 '!I35</f>
        <v>1017.2057920499999</v>
      </c>
      <c r="I50" s="895">
        <f>H50-J50</f>
        <v>906.37709762999987</v>
      </c>
      <c r="J50" s="1019">
        <f>H50*G50</f>
        <v>110.82869441999999</v>
      </c>
      <c r="K50" s="894">
        <f>$H50-L50</f>
        <v>915.48521284499986</v>
      </c>
      <c r="L50" s="898">
        <f>H50*$L$3</f>
        <v>101.72057920499999</v>
      </c>
      <c r="M50" s="899">
        <f>L50-$J$6</f>
        <v>-75.889420795000021</v>
      </c>
      <c r="N50" s="900">
        <f>L50/$J$6-1</f>
        <v>-0.42728123864084233</v>
      </c>
      <c r="O50" s="894">
        <f>$H50-P50</f>
        <v>915.48521284499986</v>
      </c>
      <c r="P50" s="898">
        <f>$H$50*$P$3</f>
        <v>101.72057920499999</v>
      </c>
      <c r="Q50" s="899">
        <f>P50-$J$6</f>
        <v>-75.889420795000021</v>
      </c>
      <c r="R50" s="900">
        <f>P50/$J$6-1</f>
        <v>-0.42728123864084233</v>
      </c>
      <c r="S50" s="894">
        <f>$H50-T50</f>
        <v>966.34550244749994</v>
      </c>
      <c r="T50" s="898">
        <f>H50*$T$3</f>
        <v>50.860289602499996</v>
      </c>
      <c r="U50" s="899">
        <f>T50-$J$6</f>
        <v>-126.74971039750002</v>
      </c>
      <c r="V50" s="900">
        <f>T50/$J$6-1</f>
        <v>-0.71364061932042122</v>
      </c>
      <c r="W50" s="901"/>
      <c r="X50" s="932"/>
      <c r="AA50" s="902"/>
      <c r="AD50" s="902"/>
    </row>
    <row r="51" spans="1:30" ht="15.6" hidden="1" customHeight="1">
      <c r="A51" s="891" t="s">
        <v>1395</v>
      </c>
      <c r="B51" s="892"/>
      <c r="C51" s="893">
        <f t="shared" si="7"/>
        <v>91</v>
      </c>
      <c r="D51" s="993">
        <f t="shared" si="7"/>
        <v>2010.08</v>
      </c>
      <c r="E51" s="994">
        <f t="shared" si="7"/>
        <v>1695.1</v>
      </c>
      <c r="F51" s="995">
        <f t="shared" si="7"/>
        <v>314.98</v>
      </c>
      <c r="G51" s="940">
        <f t="shared" si="7"/>
        <v>0.20005125625278827</v>
      </c>
      <c r="H51" s="894">
        <f>'Kais 500 vs Reg 500 '!I36</f>
        <v>2137.5411828800002</v>
      </c>
      <c r="I51" s="895">
        <f>H51-J51</f>
        <v>1776.5559183273165</v>
      </c>
      <c r="J51" s="1019">
        <f>((H51-H$17)*G51)+J$17</f>
        <v>360.9852645526837</v>
      </c>
      <c r="K51" s="894">
        <f>$H51-L51</f>
        <v>1811.7535255090002</v>
      </c>
      <c r="L51" s="898">
        <f>((H51-H50)*$N$3)+$L50</f>
        <v>325.78765737100008</v>
      </c>
      <c r="M51" s="899">
        <f>L51-$J$7</f>
        <v>-143.45234262899993</v>
      </c>
      <c r="N51" s="900">
        <f>L51/$J$7-1</f>
        <v>-0.30571209323373949</v>
      </c>
      <c r="O51" s="894">
        <f>$H51-P51</f>
        <v>1867.7702950505002</v>
      </c>
      <c r="P51" s="898">
        <f>(($H$51-$H$50)*$R$3)+$P50</f>
        <v>269.77088782950005</v>
      </c>
      <c r="Q51" s="899">
        <f>P51-$J$7</f>
        <v>-199.46911217049995</v>
      </c>
      <c r="R51" s="900">
        <f>P51/$J$7-1</f>
        <v>-0.42508974548312151</v>
      </c>
      <c r="S51" s="894">
        <f>$H51-T51</f>
        <v>1974.6473541945002</v>
      </c>
      <c r="T51" s="898">
        <f>((H51-H50)*$V$3)+$T50</f>
        <v>162.89382868550004</v>
      </c>
      <c r="U51" s="899">
        <f>T51-$J$7</f>
        <v>-306.3461713145</v>
      </c>
      <c r="V51" s="900">
        <f>T51/$J$7-1</f>
        <v>-0.6528560466168698</v>
      </c>
      <c r="W51" s="901"/>
      <c r="X51" s="932"/>
      <c r="AD51" s="902"/>
    </row>
    <row r="52" spans="1:30" ht="15.6" hidden="1" customHeight="1">
      <c r="A52" s="891" t="s">
        <v>1396</v>
      </c>
      <c r="B52" s="892"/>
      <c r="C52" s="893">
        <f t="shared" si="7"/>
        <v>35</v>
      </c>
      <c r="D52" s="993">
        <f t="shared" si="7"/>
        <v>1723.03</v>
      </c>
      <c r="E52" s="994">
        <f t="shared" si="7"/>
        <v>1465.42</v>
      </c>
      <c r="F52" s="995">
        <f t="shared" si="7"/>
        <v>257.61</v>
      </c>
      <c r="G52" s="940">
        <f t="shared" si="7"/>
        <v>0.20012263855547438</v>
      </c>
      <c r="H52" s="894">
        <f>'Kais 500 vs Reg 500 '!I37</f>
        <v>1832.2890553299999</v>
      </c>
      <c r="I52" s="895">
        <f>H52-J52</f>
        <v>1532.3106412289553</v>
      </c>
      <c r="J52" s="1019">
        <f>((H52-H$17)*G52)+J$17</f>
        <v>299.97841410104462</v>
      </c>
      <c r="K52" s="894">
        <f>$H52-L52</f>
        <v>1567.5518234689998</v>
      </c>
      <c r="L52" s="898">
        <f>((H52-H50)*$N$3)+$L50</f>
        <v>264.737231861</v>
      </c>
      <c r="M52" s="899">
        <f>L52-$J$8</f>
        <v>-125.10276813899998</v>
      </c>
      <c r="N52" s="900">
        <f>L52/$J$8-1</f>
        <v>-0.32090798311871538</v>
      </c>
      <c r="O52" s="894">
        <f>$H52-P52</f>
        <v>1608.305986633</v>
      </c>
      <c r="P52" s="898">
        <f>(($H$52-$H$50)*$R$3)+$P50</f>
        <v>223.98306869699996</v>
      </c>
      <c r="Q52" s="899">
        <f>P52-$J$8</f>
        <v>-165.85693130300001</v>
      </c>
      <c r="R52" s="900">
        <f>P52/$J$8-1</f>
        <v>-0.42544872589523908</v>
      </c>
      <c r="S52" s="894">
        <f>$H52-T52</f>
        <v>1699.9204393994999</v>
      </c>
      <c r="T52" s="898">
        <f>((H52-H50)*$V$3)+$T50</f>
        <v>132.3686159305</v>
      </c>
      <c r="U52" s="899">
        <f>T52-$J$8</f>
        <v>-257.4713840695</v>
      </c>
      <c r="V52" s="900">
        <f>T52/$J$8-1</f>
        <v>-0.66045399155935769</v>
      </c>
      <c r="W52" s="904"/>
      <c r="X52" s="902"/>
      <c r="AD52" s="902"/>
    </row>
    <row r="53" spans="1:30" ht="15.6" hidden="1" customHeight="1" thickBot="1">
      <c r="A53" s="891" t="s">
        <v>1397</v>
      </c>
      <c r="B53" s="892"/>
      <c r="C53" s="893">
        <f t="shared" si="7"/>
        <v>182</v>
      </c>
      <c r="D53" s="996">
        <f t="shared" si="7"/>
        <v>2776.01</v>
      </c>
      <c r="E53" s="997">
        <f t="shared" si="7"/>
        <v>2308.04</v>
      </c>
      <c r="F53" s="998">
        <f t="shared" si="7"/>
        <v>467.97</v>
      </c>
      <c r="G53" s="974">
        <f t="shared" si="7"/>
        <v>0.19992195486572936</v>
      </c>
      <c r="H53" s="971">
        <f>'Kais 500 vs Reg 500 '!I38</f>
        <v>2952.0395701100001</v>
      </c>
      <c r="I53" s="972">
        <f>H53-J53</f>
        <v>2428.3649380131073</v>
      </c>
      <c r="J53" s="1020">
        <f>((H53-H$17)*G53)+J$17</f>
        <v>523.67463209689276</v>
      </c>
      <c r="K53" s="971">
        <f>$H53-L53</f>
        <v>2463.3522352929999</v>
      </c>
      <c r="L53" s="975">
        <f>((H53-H50)*$N$3)+$L50</f>
        <v>488.68733481700002</v>
      </c>
      <c r="M53" s="972">
        <f>L53-$J$9</f>
        <v>-192.36266518299993</v>
      </c>
      <c r="N53" s="976">
        <f>L53/$J31-1</f>
        <v>-2.7952483198323996E-2</v>
      </c>
      <c r="O53" s="971">
        <f>$H53-P53</f>
        <v>2560.093924196</v>
      </c>
      <c r="P53" s="975">
        <f>(($H$53-$H$50)*$R$3)+$P50</f>
        <v>391.94564591400001</v>
      </c>
      <c r="Q53" s="972">
        <f>P53-$J$9</f>
        <v>-289.10435408599994</v>
      </c>
      <c r="R53" s="976">
        <f>P53/$J$9-1</f>
        <v>-0.42449798705821884</v>
      </c>
      <c r="S53" s="971">
        <f>$H53-T53</f>
        <v>2707.6959027015</v>
      </c>
      <c r="T53" s="975">
        <f>((H53-H50)*$V$3)+$T50</f>
        <v>244.34366740850001</v>
      </c>
      <c r="U53" s="972">
        <f>T53-$J$9</f>
        <v>-436.70633259149997</v>
      </c>
      <c r="V53" s="976">
        <f>T53/$J$9-1</f>
        <v>-0.64122506804419643</v>
      </c>
      <c r="W53" s="904"/>
      <c r="X53" s="902"/>
      <c r="AC53" s="902"/>
      <c r="AD53" s="902"/>
    </row>
    <row r="54" spans="1:30" ht="15.6" hidden="1" customHeight="1">
      <c r="A54" s="905" t="s">
        <v>1398</v>
      </c>
      <c r="B54" s="892"/>
      <c r="C54" s="906">
        <f>SUM(C50:C53)</f>
        <v>453</v>
      </c>
      <c r="D54" s="999">
        <f t="shared" ref="D54:F55" si="8">D43</f>
        <v>887156.90000000014</v>
      </c>
      <c r="E54" s="1000">
        <f t="shared" si="8"/>
        <v>749194.92999999993</v>
      </c>
      <c r="F54" s="1001">
        <f t="shared" si="8"/>
        <v>137961.97</v>
      </c>
      <c r="G54" s="964"/>
      <c r="H54" s="961" cm="1">
        <f t="array" ref="H54">SUMPRODUCT($C$6:$C$9*H50:H53)</f>
        <v>943412.40618589998</v>
      </c>
      <c r="I54" s="962" cm="1">
        <f t="array" ref="I54">SUMPRODUCT($C$6:$C$9*I50:I53)</f>
        <v>788684.55888553476</v>
      </c>
      <c r="J54" s="963" cm="1">
        <f t="array" ref="J54">SUMPRODUCT($C$6:$C$9*J50:J53)</f>
        <v>154727.84730036525</v>
      </c>
      <c r="K54" s="961" cm="1">
        <f t="array" ref="K54">SUMPRODUCT(K50:K53*C50:C53)</f>
        <v>800809.34732858487</v>
      </c>
      <c r="L54" s="965" cm="1">
        <f t="array" ref="L54">SUMPRODUCT(L50:L53*C50:C53)</f>
        <v>142603.05885731502</v>
      </c>
      <c r="M54" s="966"/>
      <c r="N54" s="967"/>
      <c r="O54" s="961" cm="1">
        <f t="array" ref="O54">SUMPRODUCT(O50:O53*$C50:$C53)</f>
        <v>824940.25644794758</v>
      </c>
      <c r="P54" s="965" cm="1">
        <f t="array" ref="P54">SUMPRODUCT(P50:P53*$C50:$C53)</f>
        <v>118472.1497379525</v>
      </c>
      <c r="Q54" s="966"/>
      <c r="R54" s="967"/>
      <c r="S54" s="961" cm="1">
        <f t="array" ref="S54">SUMPRODUCT(S50:S53*$C50:$C53)</f>
        <v>872110.87675724248</v>
      </c>
      <c r="T54" s="965" cm="1">
        <f t="array" ref="T54">SUMPRODUCT(T50:T53*$C50:$C53)</f>
        <v>71301.529428657508</v>
      </c>
      <c r="U54" s="966"/>
      <c r="V54" s="967"/>
      <c r="W54" s="904"/>
      <c r="X54" s="903"/>
      <c r="Y54" s="903"/>
      <c r="Z54" s="903"/>
      <c r="AA54" s="903"/>
      <c r="AC54" s="903"/>
    </row>
    <row r="55" spans="1:30" ht="15.6" hidden="1" customHeight="1">
      <c r="A55" s="905" t="s">
        <v>1399</v>
      </c>
      <c r="B55" s="933"/>
      <c r="C55" s="934"/>
      <c r="D55" s="1002">
        <f t="shared" si="8"/>
        <v>10645882.800000001</v>
      </c>
      <c r="E55" s="1003">
        <f t="shared" si="8"/>
        <v>8990339.1600000001</v>
      </c>
      <c r="F55" s="1004">
        <f t="shared" si="8"/>
        <v>1655543.6400000001</v>
      </c>
      <c r="G55" s="941"/>
      <c r="H55" s="914">
        <f>H54*12</f>
        <v>11320948.8742308</v>
      </c>
      <c r="I55" s="915">
        <f>I54*12</f>
        <v>9464214.7066264171</v>
      </c>
      <c r="J55" s="936">
        <f>J54*12</f>
        <v>1856734.1676043831</v>
      </c>
      <c r="K55" s="914">
        <f>K54*12</f>
        <v>9609712.1679430194</v>
      </c>
      <c r="L55" s="916">
        <f>L54*12</f>
        <v>1711236.7062877803</v>
      </c>
      <c r="M55" s="917"/>
      <c r="N55" s="918"/>
      <c r="O55" s="914">
        <f>O54*12</f>
        <v>9899283.077375371</v>
      </c>
      <c r="P55" s="916">
        <f>P54*12</f>
        <v>1421665.7968554299</v>
      </c>
      <c r="Q55" s="917"/>
      <c r="R55" s="918"/>
      <c r="S55" s="914">
        <f>S54*12</f>
        <v>10465330.521086909</v>
      </c>
      <c r="T55" s="916">
        <f>T54*12</f>
        <v>855618.35314389016</v>
      </c>
      <c r="U55" s="917"/>
      <c r="V55" s="918"/>
      <c r="W55" s="903"/>
      <c r="X55" s="903"/>
      <c r="Y55" s="903"/>
      <c r="Z55" s="903"/>
      <c r="AA55" s="903"/>
      <c r="AB55" s="903"/>
      <c r="AC55" s="903"/>
    </row>
    <row r="56" spans="1:30" ht="15.6" hidden="1" customHeight="1">
      <c r="A56" s="1233" t="s">
        <v>1400</v>
      </c>
      <c r="B56" s="1234"/>
      <c r="C56" s="1235"/>
      <c r="D56" s="1002"/>
      <c r="E56" s="1003"/>
      <c r="F56" s="1004"/>
      <c r="G56" s="941"/>
      <c r="H56" s="944">
        <f>H55/D55-1</f>
        <v>6.3410999999999884E-2</v>
      </c>
      <c r="I56" s="945">
        <f>I55/E55-1</f>
        <v>5.2709418209136549E-2</v>
      </c>
      <c r="J56" s="946">
        <f>J55/F55-1</f>
        <v>0.12152535441734602</v>
      </c>
      <c r="K56" s="919">
        <f>K55/E55-1</f>
        <v>6.8893174875843011E-2</v>
      </c>
      <c r="L56" s="920">
        <f>L55/F55-1</f>
        <v>3.3640349273897918E-2</v>
      </c>
      <c r="M56" s="917"/>
      <c r="N56" s="918"/>
      <c r="O56" s="919">
        <f>O55/E55-1</f>
        <v>0.10110229449623698</v>
      </c>
      <c r="P56" s="920">
        <f>P55/F55-1</f>
        <v>-0.14126951262038023</v>
      </c>
      <c r="Q56" s="917"/>
      <c r="R56" s="918"/>
      <c r="S56" s="919">
        <f>S55/$E55-1</f>
        <v>0.16406403972493844</v>
      </c>
      <c r="T56" s="920">
        <f>T55/$F55-1</f>
        <v>-0.48317982536305104</v>
      </c>
      <c r="U56" s="917"/>
      <c r="V56" s="918"/>
      <c r="W56" s="904"/>
      <c r="X56" s="903"/>
      <c r="Y56" s="903"/>
      <c r="Z56" s="903"/>
      <c r="AA56" s="903"/>
      <c r="AB56" s="903"/>
      <c r="AC56" s="903"/>
    </row>
    <row r="57" spans="1:30" ht="15.6" hidden="1" customHeight="1">
      <c r="A57" s="1233" t="s">
        <v>1401</v>
      </c>
      <c r="B57" s="1234"/>
      <c r="C57" s="1235"/>
      <c r="D57" s="1002"/>
      <c r="E57" s="1003"/>
      <c r="F57" s="1004"/>
      <c r="G57" s="941"/>
      <c r="H57" s="907">
        <f>H55-D55</f>
        <v>675066.07423079945</v>
      </c>
      <c r="I57" s="908">
        <f>I55-E55</f>
        <v>473875.54662641697</v>
      </c>
      <c r="J57" s="909">
        <f>J55-F55</f>
        <v>201190.52760438295</v>
      </c>
      <c r="K57" s="908">
        <f>K55-E55</f>
        <v>619373.00794301927</v>
      </c>
      <c r="L57" s="910">
        <f>L55-F55</f>
        <v>55693.066287780181</v>
      </c>
      <c r="M57" s="917"/>
      <c r="N57" s="918"/>
      <c r="O57" s="908">
        <f>O55-$E55</f>
        <v>908943.91737537086</v>
      </c>
      <c r="P57" s="910">
        <f>P55-$F55</f>
        <v>-233877.84314457024</v>
      </c>
      <c r="Q57" s="917"/>
      <c r="R57" s="918"/>
      <c r="S57" s="908">
        <f>S55-$E55</f>
        <v>1474991.3610869087</v>
      </c>
      <c r="T57" s="910">
        <f>T55-$F55</f>
        <v>-799925.28685610997</v>
      </c>
      <c r="U57" s="917"/>
      <c r="V57" s="918"/>
      <c r="W57" s="904"/>
      <c r="X57" s="903"/>
      <c r="Y57" s="903"/>
      <c r="Z57" s="903"/>
      <c r="AA57" s="903"/>
      <c r="AB57" s="903"/>
      <c r="AC57" s="903"/>
    </row>
    <row r="58" spans="1:30" ht="15.6" hidden="1" customHeight="1">
      <c r="A58" s="981" t="s">
        <v>1402</v>
      </c>
      <c r="B58" s="982"/>
      <c r="C58" s="982"/>
      <c r="D58" s="1005"/>
      <c r="E58" s="1005"/>
      <c r="F58" s="1005"/>
      <c r="G58" s="983"/>
      <c r="H58" s="983">
        <f>H55-$H$11</f>
        <v>-350132.43940920196</v>
      </c>
      <c r="I58" s="986">
        <f>I55-$I$11</f>
        <v>265730.8729864154</v>
      </c>
      <c r="J58" s="986">
        <f>J55-$J$11</f>
        <v>-615863.31239561643</v>
      </c>
      <c r="K58" s="987">
        <f>K55-$I$11</f>
        <v>411228.33430301771</v>
      </c>
      <c r="L58" s="986">
        <f>L55-$J$11</f>
        <v>-761360.7737122192</v>
      </c>
      <c r="M58" s="988"/>
      <c r="N58" s="988"/>
      <c r="O58" s="987">
        <f>O55-$I$11</f>
        <v>700799.24373536929</v>
      </c>
      <c r="P58" s="986">
        <f>P55-$J$11</f>
        <v>-1050931.6831445696</v>
      </c>
      <c r="Q58" s="985"/>
      <c r="R58" s="985"/>
      <c r="S58" s="987">
        <f>S55-$I$11</f>
        <v>1266846.6874469072</v>
      </c>
      <c r="T58" s="986">
        <f>T55-$J$11</f>
        <v>-1616979.1268561094</v>
      </c>
      <c r="U58" s="985"/>
      <c r="V58" s="985"/>
      <c r="W58" s="904"/>
      <c r="X58" s="903"/>
      <c r="Y58" s="903"/>
      <c r="Z58" s="903"/>
      <c r="AA58" s="903"/>
      <c r="AB58" s="903"/>
      <c r="AC58" s="903"/>
    </row>
    <row r="59" spans="1:30" ht="15.6" hidden="1" customHeight="1">
      <c r="A59" s="912"/>
      <c r="B59" s="913"/>
      <c r="C59" s="913"/>
      <c r="D59" s="1003"/>
      <c r="E59" s="1003"/>
      <c r="F59" s="1003"/>
      <c r="G59" s="915"/>
      <c r="H59" s="915"/>
      <c r="I59" s="915"/>
      <c r="J59" s="915"/>
      <c r="K59" s="915"/>
      <c r="L59" s="915"/>
      <c r="M59" s="978"/>
      <c r="N59" s="978"/>
      <c r="O59" s="915"/>
      <c r="P59" s="915"/>
      <c r="Q59" s="978"/>
      <c r="R59" s="978"/>
      <c r="S59" s="915"/>
      <c r="T59" s="915"/>
      <c r="U59" s="978"/>
      <c r="V59" s="978"/>
      <c r="W59" s="904"/>
      <c r="X59" s="903"/>
      <c r="Y59" s="903"/>
      <c r="Z59" s="903"/>
      <c r="AA59" s="903"/>
      <c r="AB59" s="903"/>
      <c r="AC59" s="903"/>
    </row>
    <row r="60" spans="1:30" ht="15.6" hidden="1" customHeight="1">
      <c r="A60" s="927" t="s">
        <v>1407</v>
      </c>
      <c r="B60" s="928"/>
      <c r="C60" s="929"/>
      <c r="D60" s="1246"/>
      <c r="E60" s="1247"/>
      <c r="F60" s="1247"/>
      <c r="G60" s="942"/>
      <c r="H60" s="1230"/>
      <c r="I60" s="1231"/>
      <c r="J60" s="1232"/>
      <c r="K60" s="930"/>
      <c r="L60" s="931"/>
      <c r="M60" s="1244" t="s">
        <v>1393</v>
      </c>
      <c r="N60" s="1245"/>
      <c r="O60" s="930"/>
      <c r="P60" s="931"/>
      <c r="Q60" s="1244" t="s">
        <v>1393</v>
      </c>
      <c r="R60" s="1245"/>
      <c r="S60" s="930"/>
      <c r="T60" s="931"/>
      <c r="U60" s="1244" t="s">
        <v>1393</v>
      </c>
      <c r="V60" s="1245"/>
      <c r="W60" s="904"/>
    </row>
    <row r="61" spans="1:30" ht="15.6" hidden="1" customHeight="1">
      <c r="A61" s="891" t="s">
        <v>1394</v>
      </c>
      <c r="B61" s="892"/>
      <c r="C61" s="893">
        <f t="shared" ref="C61:G64" si="9">C50</f>
        <v>145</v>
      </c>
      <c r="D61" s="993">
        <f t="shared" si="9"/>
        <v>956.55</v>
      </c>
      <c r="E61" s="994">
        <f t="shared" si="9"/>
        <v>852.32999999999993</v>
      </c>
      <c r="F61" s="995">
        <f t="shared" si="9"/>
        <v>104.22</v>
      </c>
      <c r="G61" s="940">
        <f t="shared" si="9"/>
        <v>0.10895405363023365</v>
      </c>
      <c r="H61" s="894">
        <f>'Kais 500 vs Reg 500 '!J35</f>
        <v>1015.1084605199999</v>
      </c>
      <c r="I61" s="895">
        <f>H61-J61</f>
        <v>904.50827887199989</v>
      </c>
      <c r="J61" s="1019">
        <f>H61*G61</f>
        <v>110.60018164799999</v>
      </c>
      <c r="K61" s="894">
        <f>$H61-L61</f>
        <v>913.59761446799985</v>
      </c>
      <c r="L61" s="898">
        <f>H61*$L$3</f>
        <v>101.51084605199999</v>
      </c>
      <c r="M61" s="899">
        <f>L61-$J$6</f>
        <v>-76.099153948000023</v>
      </c>
      <c r="N61" s="900">
        <f>L61/$J$6-1</f>
        <v>-0.42846210206632518</v>
      </c>
      <c r="O61" s="894">
        <f>$H61-P61</f>
        <v>913.59761446799985</v>
      </c>
      <c r="P61" s="898">
        <f>$H$61*$P$3</f>
        <v>101.51084605199999</v>
      </c>
      <c r="Q61" s="899">
        <f>P61-$J$6</f>
        <v>-76.099153948000023</v>
      </c>
      <c r="R61" s="900">
        <f>P61/$J$6-1</f>
        <v>-0.42846210206632518</v>
      </c>
      <c r="S61" s="894">
        <f>$H61-T61</f>
        <v>964.35303749399986</v>
      </c>
      <c r="T61" s="898">
        <f>H61*$T$3</f>
        <v>50.755423025999995</v>
      </c>
      <c r="U61" s="899">
        <f>T61-$J$6</f>
        <v>-126.85457697400003</v>
      </c>
      <c r="V61" s="900">
        <f>T61/$J$6-1</f>
        <v>-0.71423105103316264</v>
      </c>
      <c r="W61" s="901"/>
      <c r="X61" s="932"/>
      <c r="AA61" s="902"/>
      <c r="AD61" s="902"/>
    </row>
    <row r="62" spans="1:30" ht="15.6" hidden="1" customHeight="1">
      <c r="A62" s="891" t="s">
        <v>1395</v>
      </c>
      <c r="B62" s="892"/>
      <c r="C62" s="893">
        <f t="shared" si="9"/>
        <v>91</v>
      </c>
      <c r="D62" s="993">
        <f t="shared" si="9"/>
        <v>2010.08</v>
      </c>
      <c r="E62" s="994">
        <f t="shared" si="9"/>
        <v>1695.1</v>
      </c>
      <c r="F62" s="995">
        <f t="shared" si="9"/>
        <v>314.98</v>
      </c>
      <c r="G62" s="940">
        <f t="shared" si="9"/>
        <v>0.20005125625278827</v>
      </c>
      <c r="H62" s="894">
        <f>'Kais 500 vs Reg 500 '!J36</f>
        <v>2133.1338814720002</v>
      </c>
      <c r="I62" s="895">
        <f>H62-J62</f>
        <v>1800.0112277639721</v>
      </c>
      <c r="J62" s="1019">
        <f>((H62-H$28)*G62)+J$28</f>
        <v>333.12265370802805</v>
      </c>
      <c r="K62" s="894">
        <f>$H62-L62</f>
        <v>1808.0179512296002</v>
      </c>
      <c r="L62" s="898">
        <f>((H62-H61)*$N$3)+$L61</f>
        <v>325.11593024240005</v>
      </c>
      <c r="M62" s="899">
        <f>L62-$J$7</f>
        <v>-144.12406975759995</v>
      </c>
      <c r="N62" s="900">
        <f>L62/$J$7-1</f>
        <v>-0.30714361469098961</v>
      </c>
      <c r="O62" s="894">
        <f>$H62-P62</f>
        <v>1863.9192222772001</v>
      </c>
      <c r="P62" s="898">
        <f>(($H$62-$H$61)*$R$3)+$P61</f>
        <v>269.21465919480005</v>
      </c>
      <c r="Q62" s="899">
        <f>P62-$J$7</f>
        <v>-200.02534080519996</v>
      </c>
      <c r="R62" s="900">
        <f>P62/$J$7-1</f>
        <v>-0.42627512745119756</v>
      </c>
      <c r="S62" s="894">
        <f>$H62-T62</f>
        <v>1970.5759163508001</v>
      </c>
      <c r="T62" s="898">
        <f>((H62-H61)*$V$3)+$T61</f>
        <v>162.55796512120003</v>
      </c>
      <c r="U62" s="899">
        <f>T62-$J$7</f>
        <v>-306.68203487879998</v>
      </c>
      <c r="V62" s="900">
        <f>T62/$J$7-1</f>
        <v>-0.6535718073454948</v>
      </c>
      <c r="W62" s="901"/>
      <c r="X62" s="932"/>
      <c r="AD62" s="902"/>
    </row>
    <row r="63" spans="1:30" ht="15.6" hidden="1" customHeight="1">
      <c r="A63" s="891" t="s">
        <v>1396</v>
      </c>
      <c r="B63" s="892"/>
      <c r="C63" s="893">
        <f t="shared" si="9"/>
        <v>35</v>
      </c>
      <c r="D63" s="993">
        <f t="shared" si="9"/>
        <v>1723.03</v>
      </c>
      <c r="E63" s="994">
        <f t="shared" si="9"/>
        <v>1465.42</v>
      </c>
      <c r="F63" s="995">
        <f t="shared" si="9"/>
        <v>257.61</v>
      </c>
      <c r="G63" s="940">
        <f t="shared" si="9"/>
        <v>0.20012263855547438</v>
      </c>
      <c r="H63" s="894">
        <f>'Kais 500 vs Reg 500 '!J37</f>
        <v>1828.511139752</v>
      </c>
      <c r="I63" s="895">
        <f>H63-J63</f>
        <v>1556.2714788733217</v>
      </c>
      <c r="J63" s="1019">
        <f>((H63-H$28)*G63)+J$28</f>
        <v>272.23966087867825</v>
      </c>
      <c r="K63" s="894">
        <f>$H63-L63</f>
        <v>1564.3197578535999</v>
      </c>
      <c r="L63" s="898">
        <f>((H63-H61)*$N$3)+$L61</f>
        <v>264.19138189840004</v>
      </c>
      <c r="M63" s="899">
        <f>L63-$J$8</f>
        <v>-125.64861810159994</v>
      </c>
      <c r="N63" s="900">
        <f>L63/$J$8-1</f>
        <v>-0.32230817284424362</v>
      </c>
      <c r="O63" s="894">
        <f>$H63-P63</f>
        <v>1604.9898918152001</v>
      </c>
      <c r="P63" s="898">
        <f>(($H$63-$H$61)*$R$3)+$P61</f>
        <v>223.52124793679999</v>
      </c>
      <c r="Q63" s="899">
        <f>P63-$J$8</f>
        <v>-166.31875206319998</v>
      </c>
      <c r="R63" s="900">
        <f>P63/$J$8-1</f>
        <v>-0.42663336769751692</v>
      </c>
      <c r="S63" s="894">
        <f>$H63-T63</f>
        <v>1696.4154488028</v>
      </c>
      <c r="T63" s="898">
        <f>((H63-H61)*$V$3)+$T61</f>
        <v>132.09569094920002</v>
      </c>
      <c r="U63" s="899">
        <f>T63-$J$8</f>
        <v>-257.74430905079998</v>
      </c>
      <c r="V63" s="900">
        <f>T63/$J$8-1</f>
        <v>-0.66115408642212181</v>
      </c>
      <c r="W63" s="904"/>
      <c r="X63" s="902"/>
      <c r="AD63" s="902"/>
    </row>
    <row r="64" spans="1:30" ht="15.6" hidden="1" customHeight="1" thickBot="1">
      <c r="A64" s="891" t="s">
        <v>1397</v>
      </c>
      <c r="B64" s="892"/>
      <c r="C64" s="893">
        <f t="shared" si="9"/>
        <v>182</v>
      </c>
      <c r="D64" s="996">
        <f t="shared" si="9"/>
        <v>2776.01</v>
      </c>
      <c r="E64" s="997">
        <f t="shared" si="9"/>
        <v>2308.04</v>
      </c>
      <c r="F64" s="998">
        <f t="shared" si="9"/>
        <v>467.97</v>
      </c>
      <c r="G64" s="974">
        <f t="shared" si="9"/>
        <v>0.19992195486572936</v>
      </c>
      <c r="H64" s="971">
        <f>'Kais 500 vs Reg 500 '!J38</f>
        <v>2945.9528905840002</v>
      </c>
      <c r="I64" s="972">
        <f>H64-J64</f>
        <v>2450.4728158852763</v>
      </c>
      <c r="J64" s="1020">
        <f>((H64-H$28)*G64)+J$28</f>
        <v>495.4800746987238</v>
      </c>
      <c r="K64" s="971">
        <f>$H64-L64</f>
        <v>2458.2731585192</v>
      </c>
      <c r="L64" s="975">
        <f>((H64-H61)*$N$3)+$L61</f>
        <v>487.67973206480008</v>
      </c>
      <c r="M64" s="972">
        <f>L64-$J$9</f>
        <v>-193.37026793519988</v>
      </c>
      <c r="N64" s="976">
        <f>L64/$J42-1</f>
        <v>-2.8884670443594107E-2</v>
      </c>
      <c r="O64" s="971">
        <f>$H64-P64</f>
        <v>2554.8153800223999</v>
      </c>
      <c r="P64" s="975">
        <f>(($H$64-$H$61)*$R$3)+$P61</f>
        <v>391.13751056160004</v>
      </c>
      <c r="Q64" s="972">
        <f>P64-$J$9</f>
        <v>-289.91248943839992</v>
      </c>
      <c r="R64" s="976">
        <f>P64/$J$9-1</f>
        <v>-0.42568458914675855</v>
      </c>
      <c r="S64" s="971">
        <f>$H64-T64</f>
        <v>2702.1130245516001</v>
      </c>
      <c r="T64" s="975">
        <f>((H64-H61)*$V$3)+$T61</f>
        <v>243.83986603240004</v>
      </c>
      <c r="U64" s="972">
        <f>T64-$J$9</f>
        <v>-437.21013396759992</v>
      </c>
      <c r="V64" s="976">
        <f>T64/$J$9-1</f>
        <v>-0.64196481017194029</v>
      </c>
      <c r="W64" s="904"/>
      <c r="X64" s="902"/>
      <c r="AC64" s="902"/>
      <c r="AD64" s="902"/>
    </row>
    <row r="65" spans="1:30" ht="15.6" hidden="1" customHeight="1">
      <c r="A65" s="905" t="s">
        <v>1398</v>
      </c>
      <c r="B65" s="892"/>
      <c r="C65" s="906">
        <f>SUM(C61:C64)</f>
        <v>453</v>
      </c>
      <c r="D65" s="999">
        <f t="shared" ref="D65:F66" si="10">D54</f>
        <v>887156.90000000014</v>
      </c>
      <c r="E65" s="1000">
        <f t="shared" si="10"/>
        <v>749194.92999999993</v>
      </c>
      <c r="F65" s="1001">
        <f t="shared" si="10"/>
        <v>137961.97</v>
      </c>
      <c r="G65" s="964"/>
      <c r="H65" s="961" cm="1">
        <f t="array" ref="H65">SUMPRODUCT($C$6:$C$9*H61:H64)</f>
        <v>941467.22596696008</v>
      </c>
      <c r="I65" s="962" cm="1">
        <f t="array" ref="I65">SUMPRODUCT($C$6:$C$9*I61:I64)</f>
        <v>795410.27641464793</v>
      </c>
      <c r="J65" s="963" cm="1">
        <f t="array" ref="J65">SUMPRODUCT($C$6:$C$9*J61:J64)</f>
        <v>146056.94955231203</v>
      </c>
      <c r="K65" s="961" cm="1">
        <f t="array" ref="K65">SUMPRODUCT(K61:K64*C61:C64)</f>
        <v>799158.19403512403</v>
      </c>
      <c r="L65" s="965" cm="1">
        <f t="array" ref="L65">SUMPRODUCT(L61:L64*C61:C64)</f>
        <v>142309.03193183601</v>
      </c>
      <c r="M65" s="966"/>
      <c r="N65" s="967"/>
      <c r="O65" s="961" cm="1">
        <f t="array" ref="O65">SUMPRODUCT(O61:O64*$C61:$C64)</f>
        <v>823239.34870269406</v>
      </c>
      <c r="P65" s="965" cm="1">
        <f t="array" ref="P65">SUMPRODUCT(P61:P64*$C61:$C64)</f>
        <v>118227.87726426602</v>
      </c>
      <c r="Q65" s="966"/>
      <c r="R65" s="967"/>
      <c r="S65" s="961" cm="1">
        <f t="array" ref="S65">SUMPRODUCT(S61:S64*$C61:$C64)</f>
        <v>870312.710001042</v>
      </c>
      <c r="T65" s="965" cm="1">
        <f t="array" ref="T65">SUMPRODUCT(T61:T64*$C61:$C64)</f>
        <v>71154.515965918006</v>
      </c>
      <c r="U65" s="966"/>
      <c r="V65" s="967"/>
      <c r="W65" s="904"/>
      <c r="X65" s="903"/>
      <c r="Y65" s="903"/>
      <c r="Z65" s="903"/>
      <c r="AA65" s="903"/>
      <c r="AC65" s="903"/>
    </row>
    <row r="66" spans="1:30" ht="15.6" hidden="1" customHeight="1">
      <c r="A66" s="905" t="s">
        <v>1399</v>
      </c>
      <c r="B66" s="933"/>
      <c r="C66" s="934"/>
      <c r="D66" s="1002">
        <f t="shared" si="10"/>
        <v>10645882.800000001</v>
      </c>
      <c r="E66" s="1003">
        <f t="shared" si="10"/>
        <v>8990339.1600000001</v>
      </c>
      <c r="F66" s="1004">
        <f t="shared" si="10"/>
        <v>1655543.6400000001</v>
      </c>
      <c r="G66" s="941"/>
      <c r="H66" s="914">
        <f>H65*12</f>
        <v>11297606.71160352</v>
      </c>
      <c r="I66" s="915">
        <f>I65*12</f>
        <v>9544923.3169757761</v>
      </c>
      <c r="J66" s="936">
        <f>J65*12</f>
        <v>1752683.3946277443</v>
      </c>
      <c r="K66" s="914">
        <f>K65*12</f>
        <v>9589898.3284214884</v>
      </c>
      <c r="L66" s="916">
        <f>L65*12</f>
        <v>1707708.383182032</v>
      </c>
      <c r="M66" s="917"/>
      <c r="N66" s="918"/>
      <c r="O66" s="914">
        <f>O65*12</f>
        <v>9878872.1844323277</v>
      </c>
      <c r="P66" s="916">
        <f>P65*12</f>
        <v>1418734.5271711922</v>
      </c>
      <c r="Q66" s="917"/>
      <c r="R66" s="918"/>
      <c r="S66" s="914">
        <f>S65*12</f>
        <v>10443752.520012503</v>
      </c>
      <c r="T66" s="916">
        <f>T65*12</f>
        <v>853854.19159101602</v>
      </c>
      <c r="U66" s="917"/>
      <c r="V66" s="918"/>
      <c r="W66" s="903"/>
      <c r="X66" s="903"/>
      <c r="Y66" s="903"/>
      <c r="Z66" s="903"/>
      <c r="AA66" s="903"/>
      <c r="AB66" s="903"/>
      <c r="AC66" s="903"/>
    </row>
    <row r="67" spans="1:30" ht="15.6" hidden="1" customHeight="1">
      <c r="A67" s="1233" t="s">
        <v>1400</v>
      </c>
      <c r="B67" s="1234"/>
      <c r="C67" s="1235"/>
      <c r="D67" s="1002"/>
      <c r="E67" s="1003"/>
      <c r="F67" s="1004"/>
      <c r="G67" s="941"/>
      <c r="H67" s="944">
        <f>H66/D66-1</f>
        <v>6.1218400000000006E-2</v>
      </c>
      <c r="I67" s="945">
        <f>I66/E66-1</f>
        <v>6.1686678011352747E-2</v>
      </c>
      <c r="J67" s="946">
        <f>J66/F66-1</f>
        <v>5.8675441879468826E-2</v>
      </c>
      <c r="K67" s="919">
        <f>K66/E66-1</f>
        <v>6.6689271422490926E-2</v>
      </c>
      <c r="L67" s="920">
        <f>L66/F66-1</f>
        <v>3.1509132058900047E-2</v>
      </c>
      <c r="M67" s="917"/>
      <c r="N67" s="918"/>
      <c r="O67" s="919">
        <f>O66/E66-1</f>
        <v>9.8831980486966176E-2</v>
      </c>
      <c r="P67" s="920">
        <f>P66/F66-1</f>
        <v>-0.14304009094487413</v>
      </c>
      <c r="Q67" s="917"/>
      <c r="R67" s="918"/>
      <c r="S67" s="919">
        <f>S66/$E66-1</f>
        <v>0.16166390768426853</v>
      </c>
      <c r="T67" s="920">
        <f>T66/$F66-1</f>
        <v>-0.48424543397054998</v>
      </c>
      <c r="U67" s="917"/>
      <c r="V67" s="918"/>
      <c r="W67" s="904"/>
      <c r="X67" s="903"/>
      <c r="Y67" s="903"/>
      <c r="Z67" s="903"/>
      <c r="AA67" s="903"/>
      <c r="AB67" s="903"/>
      <c r="AC67" s="903"/>
    </row>
    <row r="68" spans="1:30" ht="15.6" hidden="1" customHeight="1">
      <c r="A68" s="1233" t="s">
        <v>1401</v>
      </c>
      <c r="B68" s="1234"/>
      <c r="C68" s="1235"/>
      <c r="D68" s="1002"/>
      <c r="E68" s="1003"/>
      <c r="F68" s="1004"/>
      <c r="G68" s="941"/>
      <c r="H68" s="907">
        <f>H66-D66</f>
        <v>651723.91160351969</v>
      </c>
      <c r="I68" s="908">
        <f>I66-E66</f>
        <v>554584.15697577596</v>
      </c>
      <c r="J68" s="909">
        <f>J66-F66</f>
        <v>97139.754627744202</v>
      </c>
      <c r="K68" s="908">
        <f>K66-E66</f>
        <v>599559.16842148826</v>
      </c>
      <c r="L68" s="910">
        <f>L66-F66</f>
        <v>52164.743182031903</v>
      </c>
      <c r="M68" s="917"/>
      <c r="N68" s="918"/>
      <c r="O68" s="908">
        <f>O66-$E66</f>
        <v>888533.0244323276</v>
      </c>
      <c r="P68" s="910">
        <f>P66-$F66</f>
        <v>-236809.11282880791</v>
      </c>
      <c r="Q68" s="917"/>
      <c r="R68" s="918"/>
      <c r="S68" s="908">
        <f>S66-$E66</f>
        <v>1453413.3600125033</v>
      </c>
      <c r="T68" s="910">
        <f>T66-$F66</f>
        <v>-801689.44840898411</v>
      </c>
      <c r="U68" s="917"/>
      <c r="V68" s="918"/>
      <c r="W68" s="904"/>
      <c r="X68" s="903"/>
      <c r="Y68" s="903"/>
      <c r="Z68" s="903"/>
      <c r="AA68" s="903"/>
      <c r="AB68" s="903"/>
      <c r="AC68" s="903"/>
    </row>
    <row r="69" spans="1:30" ht="15.6" hidden="1" customHeight="1">
      <c r="A69" s="981" t="s">
        <v>1402</v>
      </c>
      <c r="B69" s="982"/>
      <c r="C69" s="982"/>
      <c r="D69" s="1005"/>
      <c r="E69" s="1005"/>
      <c r="F69" s="1005"/>
      <c r="G69" s="983"/>
      <c r="H69" s="983">
        <f>H66-$H$11</f>
        <v>-373474.60203648172</v>
      </c>
      <c r="I69" s="986">
        <f>I66-$I$11</f>
        <v>346439.48333577439</v>
      </c>
      <c r="J69" s="986">
        <f>J66-$J$11</f>
        <v>-719914.08537225518</v>
      </c>
      <c r="K69" s="987">
        <f>K66-$I$11</f>
        <v>391414.49478148669</v>
      </c>
      <c r="L69" s="986">
        <f>L66-$J$11</f>
        <v>-764889.09681796748</v>
      </c>
      <c r="M69" s="988"/>
      <c r="N69" s="988"/>
      <c r="O69" s="987">
        <f>O66-$I$11</f>
        <v>680388.35079232603</v>
      </c>
      <c r="P69" s="986">
        <f>P66-$J$11</f>
        <v>-1053862.9528288073</v>
      </c>
      <c r="Q69" s="985"/>
      <c r="R69" s="985"/>
      <c r="S69" s="987">
        <f>S66-$I$11</f>
        <v>1245268.6863725018</v>
      </c>
      <c r="T69" s="986">
        <f>T66-$J$11</f>
        <v>-1618743.2884089835</v>
      </c>
      <c r="U69" s="985"/>
      <c r="V69" s="985"/>
      <c r="W69" s="904"/>
      <c r="X69" s="903"/>
      <c r="Y69" s="903"/>
      <c r="Z69" s="903"/>
      <c r="AA69" s="903"/>
      <c r="AB69" s="903"/>
      <c r="AC69" s="903"/>
    </row>
    <row r="70" spans="1:30" ht="15.6" hidden="1" customHeight="1">
      <c r="A70" s="912"/>
      <c r="B70" s="913"/>
      <c r="C70" s="913"/>
      <c r="D70" s="1003"/>
      <c r="E70" s="1003"/>
      <c r="F70" s="1003"/>
      <c r="G70" s="915"/>
      <c r="H70" s="915"/>
      <c r="I70" s="915"/>
      <c r="J70" s="915"/>
      <c r="K70" s="915"/>
      <c r="L70" s="915"/>
      <c r="M70" s="978"/>
      <c r="N70" s="978"/>
      <c r="O70" s="915"/>
      <c r="P70" s="915"/>
      <c r="Q70" s="978"/>
      <c r="R70" s="978"/>
      <c r="S70" s="915"/>
      <c r="T70" s="915"/>
      <c r="U70" s="978"/>
      <c r="V70" s="978"/>
      <c r="W70" s="904"/>
      <c r="X70" s="903"/>
      <c r="Y70" s="903"/>
      <c r="Z70" s="903"/>
      <c r="AA70" s="903"/>
      <c r="AB70" s="903"/>
      <c r="AC70" s="903"/>
    </row>
    <row r="71" spans="1:30" ht="15.6" hidden="1" customHeight="1">
      <c r="A71" s="927" t="s">
        <v>1408</v>
      </c>
      <c r="B71" s="928"/>
      <c r="C71" s="929"/>
      <c r="D71" s="1246"/>
      <c r="E71" s="1247"/>
      <c r="F71" s="1247"/>
      <c r="G71" s="942"/>
      <c r="H71" s="1230"/>
      <c r="I71" s="1231"/>
      <c r="J71" s="1232"/>
      <c r="K71" s="930"/>
      <c r="L71" s="931"/>
      <c r="M71" s="1244" t="s">
        <v>1393</v>
      </c>
      <c r="N71" s="1245"/>
      <c r="O71" s="930"/>
      <c r="P71" s="931"/>
      <c r="Q71" s="1244" t="s">
        <v>1393</v>
      </c>
      <c r="R71" s="1245"/>
      <c r="S71" s="930"/>
      <c r="T71" s="931"/>
      <c r="U71" s="1244" t="s">
        <v>1393</v>
      </c>
      <c r="V71" s="1245"/>
      <c r="W71" s="904"/>
    </row>
    <row r="72" spans="1:30" ht="15.6" hidden="1" customHeight="1">
      <c r="A72" s="891" t="s">
        <v>1394</v>
      </c>
      <c r="B72" s="892"/>
      <c r="C72" s="893">
        <f t="shared" ref="C72:G75" si="11">C61</f>
        <v>145</v>
      </c>
      <c r="D72" s="993">
        <f t="shared" si="11"/>
        <v>956.55</v>
      </c>
      <c r="E72" s="994">
        <f t="shared" si="11"/>
        <v>852.32999999999993</v>
      </c>
      <c r="F72" s="995">
        <f t="shared" si="11"/>
        <v>104.22</v>
      </c>
      <c r="G72" s="940">
        <f t="shared" si="11"/>
        <v>0.10895405363023365</v>
      </c>
      <c r="H72" s="894">
        <f>'Kais 500 vs Reg 500 '!K35</f>
        <v>1014.059794755</v>
      </c>
      <c r="I72" s="895">
        <f>H72-J72</f>
        <v>903.57386949299996</v>
      </c>
      <c r="J72" s="1019">
        <f>H72*G72</f>
        <v>110.48592526199999</v>
      </c>
      <c r="K72" s="894">
        <f>$H72-L72</f>
        <v>912.65381527950001</v>
      </c>
      <c r="L72" s="898">
        <f>H72*$L$3</f>
        <v>101.4059794755</v>
      </c>
      <c r="M72" s="899">
        <f>L72-$J$6</f>
        <v>-76.20402052450001</v>
      </c>
      <c r="N72" s="900">
        <f>L72/$J$6-1</f>
        <v>-0.42905253377906649</v>
      </c>
      <c r="O72" s="894">
        <f>$H72-P72</f>
        <v>912.65381527950001</v>
      </c>
      <c r="P72" s="898">
        <f>$H$72*$P$3</f>
        <v>101.4059794755</v>
      </c>
      <c r="Q72" s="899">
        <f>P72-$J$6</f>
        <v>-76.20402052450001</v>
      </c>
      <c r="R72" s="900">
        <f>P72/$J$6-1</f>
        <v>-0.42905253377906649</v>
      </c>
      <c r="S72" s="894">
        <f>$H72-T72</f>
        <v>963.35680501724994</v>
      </c>
      <c r="T72" s="898">
        <f>H72*$T$3</f>
        <v>50.702989737750002</v>
      </c>
      <c r="U72" s="899">
        <f>T72-$J$6</f>
        <v>-126.90701026225001</v>
      </c>
      <c r="V72" s="900">
        <f>T72/$J$6-1</f>
        <v>-0.71452626688953325</v>
      </c>
      <c r="W72" s="901"/>
      <c r="X72" s="932"/>
      <c r="AA72" s="902"/>
      <c r="AD72" s="902"/>
    </row>
    <row r="73" spans="1:30" ht="15.6" hidden="1" customHeight="1">
      <c r="A73" s="891" t="s">
        <v>1395</v>
      </c>
      <c r="B73" s="892"/>
      <c r="C73" s="893">
        <f t="shared" si="11"/>
        <v>91</v>
      </c>
      <c r="D73" s="993">
        <f t="shared" si="11"/>
        <v>2010.08</v>
      </c>
      <c r="E73" s="994">
        <f t="shared" si="11"/>
        <v>1695.1</v>
      </c>
      <c r="F73" s="995">
        <f t="shared" si="11"/>
        <v>314.98</v>
      </c>
      <c r="G73" s="940">
        <f t="shared" si="11"/>
        <v>0.20005125625278827</v>
      </c>
      <c r="H73" s="894">
        <f>'Kais 500 vs Reg 500 '!K36</f>
        <v>2130.930230768</v>
      </c>
      <c r="I73" s="895">
        <f>H73-J73</f>
        <v>1798.2484201516495</v>
      </c>
      <c r="J73" s="1019">
        <f>((H73-H$28)*G73)+J$28</f>
        <v>332.6818106163505</v>
      </c>
      <c r="K73" s="894">
        <f>$H73-L73</f>
        <v>1806.1501640899</v>
      </c>
      <c r="L73" s="898">
        <f>((H73-H72)*$N$3)+$L72</f>
        <v>324.78006667810001</v>
      </c>
      <c r="M73" s="899">
        <f>L73-$J$7</f>
        <v>-144.4599333219</v>
      </c>
      <c r="N73" s="900">
        <f>L73/$J$7-1</f>
        <v>-0.30785937541961472</v>
      </c>
      <c r="O73" s="894">
        <f>$H73-P73</f>
        <v>1861.9936858905501</v>
      </c>
      <c r="P73" s="898">
        <f>(($H$73-$H$72)*$R$3)+$P72</f>
        <v>268.93654487744999</v>
      </c>
      <c r="Q73" s="899">
        <f>P73-$J$7</f>
        <v>-200.30345512255002</v>
      </c>
      <c r="R73" s="900">
        <f>P73/$J$7-1</f>
        <v>-0.42686781843523569</v>
      </c>
      <c r="S73" s="894">
        <f>$H73-T73</f>
        <v>1968.54019742895</v>
      </c>
      <c r="T73" s="898">
        <f>((H73-H72)*$V$3)+$T72</f>
        <v>162.39003333905001</v>
      </c>
      <c r="U73" s="899">
        <f>T73-$J$7</f>
        <v>-306.84996666095003</v>
      </c>
      <c r="V73" s="900">
        <f>T73/$J$7-1</f>
        <v>-0.65392968770980731</v>
      </c>
      <c r="W73" s="901"/>
      <c r="X73" s="932"/>
      <c r="AD73" s="902"/>
    </row>
    <row r="74" spans="1:30" ht="15.6" hidden="1" customHeight="1">
      <c r="A74" s="891" t="s">
        <v>1396</v>
      </c>
      <c r="B74" s="892"/>
      <c r="C74" s="893">
        <f t="shared" si="11"/>
        <v>35</v>
      </c>
      <c r="D74" s="993">
        <f t="shared" si="11"/>
        <v>1723.03</v>
      </c>
      <c r="E74" s="994">
        <f t="shared" si="11"/>
        <v>1465.42</v>
      </c>
      <c r="F74" s="995">
        <f t="shared" si="11"/>
        <v>257.61</v>
      </c>
      <c r="G74" s="940">
        <f t="shared" si="11"/>
        <v>0.20012263855547438</v>
      </c>
      <c r="H74" s="894">
        <f>'Kais 500 vs Reg 500 '!K37</f>
        <v>1826.622181963</v>
      </c>
      <c r="I74" s="895">
        <f>H74-J74</f>
        <v>1554.7605443011764</v>
      </c>
      <c r="J74" s="1019">
        <f>((H74-H$28)*G74)+J$28</f>
        <v>271.86163766182364</v>
      </c>
      <c r="K74" s="894">
        <f>$H74-L74</f>
        <v>1562.7037250459</v>
      </c>
      <c r="L74" s="898">
        <f>((H74-H72)*$N$3)+$L72</f>
        <v>263.9184569171</v>
      </c>
      <c r="M74" s="899">
        <f>L74-$J$8</f>
        <v>-125.92154308289997</v>
      </c>
      <c r="N74" s="900">
        <f>L74/$J$8-1</f>
        <v>-0.32300826770700797</v>
      </c>
      <c r="O74" s="894">
        <f>$H74-P74</f>
        <v>1603.3318444063</v>
      </c>
      <c r="P74" s="898">
        <f>(($H$74-$H$72)*$R$3)+$P72</f>
        <v>223.2903375567</v>
      </c>
      <c r="Q74" s="899">
        <f>P74-$J$8</f>
        <v>-166.54966244329998</v>
      </c>
      <c r="R74" s="900">
        <f>P74/$J$8-1</f>
        <v>-0.42722568859865584</v>
      </c>
      <c r="S74" s="894">
        <f>$H74-T74</f>
        <v>1694.6629535044499</v>
      </c>
      <c r="T74" s="898">
        <f>((H74-H72)*$V$3)+$T72</f>
        <v>131.95922845855</v>
      </c>
      <c r="U74" s="899">
        <f>T74-$J$8</f>
        <v>-257.88077154144997</v>
      </c>
      <c r="V74" s="900">
        <f>T74/$J$8-1</f>
        <v>-0.66150413385350393</v>
      </c>
      <c r="W74" s="904"/>
      <c r="X74" s="902"/>
      <c r="AD74" s="902"/>
    </row>
    <row r="75" spans="1:30" ht="15.6" hidden="1" customHeight="1" thickBot="1">
      <c r="A75" s="891" t="s">
        <v>1397</v>
      </c>
      <c r="B75" s="892"/>
      <c r="C75" s="893">
        <f t="shared" si="11"/>
        <v>182</v>
      </c>
      <c r="D75" s="996">
        <f t="shared" si="11"/>
        <v>2776.01</v>
      </c>
      <c r="E75" s="997">
        <f t="shared" si="11"/>
        <v>2308.04</v>
      </c>
      <c r="F75" s="998">
        <f t="shared" si="11"/>
        <v>467.97</v>
      </c>
      <c r="G75" s="974">
        <f t="shared" si="11"/>
        <v>0.19992195486572936</v>
      </c>
      <c r="H75" s="971">
        <f>'Kais 500 vs Reg 500 '!K38</f>
        <v>2942.9095508210003</v>
      </c>
      <c r="I75" s="972">
        <f>H75-J75</f>
        <v>2448.037906557016</v>
      </c>
      <c r="J75" s="1020">
        <f>((H75-H$28)*G75)+J$28</f>
        <v>494.87164426398425</v>
      </c>
      <c r="K75" s="971">
        <f>$H75-L75</f>
        <v>2455.7336201323001</v>
      </c>
      <c r="L75" s="975">
        <f>((H75-H72)*$N$3)+$L72</f>
        <v>487.17593068870008</v>
      </c>
      <c r="M75" s="972">
        <f>L75-$J$9</f>
        <v>-193.87406931129988</v>
      </c>
      <c r="N75" s="976">
        <f>L75/$J53-1</f>
        <v>-6.9697287535286812E-2</v>
      </c>
      <c r="O75" s="971">
        <f>$H75-P75</f>
        <v>2552.1761079356002</v>
      </c>
      <c r="P75" s="975">
        <f>(($H$75-$H$72)*$R$3)+$P72</f>
        <v>390.7334428854</v>
      </c>
      <c r="Q75" s="972">
        <f>P75-$J$9</f>
        <v>-290.31655711459996</v>
      </c>
      <c r="R75" s="976">
        <f>P75/$J$9-1</f>
        <v>-0.42627789019102857</v>
      </c>
      <c r="S75" s="971">
        <f>$H75-T75</f>
        <v>2699.3215854766504</v>
      </c>
      <c r="T75" s="975">
        <f>((H75-H72)*$V$3)+$T72</f>
        <v>243.58796534435004</v>
      </c>
      <c r="U75" s="972">
        <f>T75-$J$9</f>
        <v>-437.46203465564992</v>
      </c>
      <c r="V75" s="976">
        <f>T75/$J$9-1</f>
        <v>-0.64233468123581228</v>
      </c>
      <c r="W75" s="904"/>
      <c r="X75" s="902"/>
      <c r="AC75" s="902"/>
      <c r="AD75" s="902"/>
    </row>
    <row r="76" spans="1:30" ht="15.6" hidden="1" customHeight="1">
      <c r="A76" s="905" t="s">
        <v>1398</v>
      </c>
      <c r="B76" s="892"/>
      <c r="C76" s="906">
        <f>SUM(C72:C75)</f>
        <v>453</v>
      </c>
      <c r="D76" s="999">
        <f t="shared" ref="D76:F77" si="12">D65</f>
        <v>887156.90000000014</v>
      </c>
      <c r="E76" s="1000">
        <f t="shared" si="12"/>
        <v>749194.92999999993</v>
      </c>
      <c r="F76" s="1001">
        <f t="shared" si="12"/>
        <v>137961.97</v>
      </c>
      <c r="G76" s="964"/>
      <c r="H76" s="961" cm="1">
        <f t="array" ref="H76">SUMPRODUCT($C$6:$C$9*H72:H75)</f>
        <v>940494.63585749012</v>
      </c>
      <c r="I76" s="962" cm="1">
        <f t="array" ref="I76">SUMPRODUCT($C$6:$C$9*I72:I75)</f>
        <v>794618.33535420313</v>
      </c>
      <c r="J76" s="963" cm="1">
        <f t="array" ref="J76">SUMPRODUCT($C$6:$C$9*J72:J75)</f>
        <v>145876.30050328685</v>
      </c>
      <c r="K76" s="961" cm="1">
        <f t="array" ref="K76">SUMPRODUCT(K72:K75*C72:C75)</f>
        <v>798332.6173883935</v>
      </c>
      <c r="L76" s="965" cm="1">
        <f t="array" ref="L76">SUMPRODUCT(L72:L75*C72:C75)</f>
        <v>142162.01846909651</v>
      </c>
      <c r="M76" s="966"/>
      <c r="N76" s="967"/>
      <c r="O76" s="961" cm="1">
        <f t="array" ref="O76">SUMPRODUCT(O72:O75*$C72:$C75)</f>
        <v>822388.89483006729</v>
      </c>
      <c r="P76" s="965" cm="1">
        <f t="array" ref="P76">SUMPRODUCT(P72:P75*$C72:$C75)</f>
        <v>118105.74102742274</v>
      </c>
      <c r="Q76" s="966"/>
      <c r="R76" s="967"/>
      <c r="S76" s="961" cm="1">
        <f t="array" ref="S76">SUMPRODUCT(S72:S75*$C72:$C75)</f>
        <v>869413.62662294181</v>
      </c>
      <c r="T76" s="965" cm="1">
        <f t="array" ref="T76">SUMPRODUCT(T72:T75*$C72:$C75)</f>
        <v>71081.009234548255</v>
      </c>
      <c r="U76" s="966"/>
      <c r="V76" s="967"/>
      <c r="W76" s="904"/>
      <c r="X76" s="903"/>
      <c r="Y76" s="903"/>
      <c r="Z76" s="903"/>
      <c r="AA76" s="903"/>
      <c r="AC76" s="903"/>
    </row>
    <row r="77" spans="1:30" ht="15.6" hidden="1" customHeight="1">
      <c r="A77" s="905" t="s">
        <v>1399</v>
      </c>
      <c r="B77" s="933"/>
      <c r="C77" s="934"/>
      <c r="D77" s="1002">
        <f t="shared" si="12"/>
        <v>10645882.800000001</v>
      </c>
      <c r="E77" s="1003">
        <f t="shared" si="12"/>
        <v>8990339.1600000001</v>
      </c>
      <c r="F77" s="1004">
        <f t="shared" si="12"/>
        <v>1655543.6400000001</v>
      </c>
      <c r="G77" s="941"/>
      <c r="H77" s="914">
        <f>H76*12</f>
        <v>11285935.630289882</v>
      </c>
      <c r="I77" s="915">
        <f>I76*12</f>
        <v>9535420.0242504366</v>
      </c>
      <c r="J77" s="936">
        <f>J76*12</f>
        <v>1750515.6060394421</v>
      </c>
      <c r="K77" s="914">
        <f>K76*12</f>
        <v>9579991.408660721</v>
      </c>
      <c r="L77" s="916">
        <f>L76*12</f>
        <v>1705944.2216291581</v>
      </c>
      <c r="M77" s="917"/>
      <c r="N77" s="918"/>
      <c r="O77" s="914">
        <f>O76*12</f>
        <v>9868666.737960808</v>
      </c>
      <c r="P77" s="916">
        <f>P76*12</f>
        <v>1417268.892329073</v>
      </c>
      <c r="Q77" s="917"/>
      <c r="R77" s="918"/>
      <c r="S77" s="914">
        <f>S76*12</f>
        <v>10432963.519475302</v>
      </c>
      <c r="T77" s="916">
        <f>T76*12</f>
        <v>852972.11081457906</v>
      </c>
      <c r="U77" s="917"/>
      <c r="V77" s="918"/>
      <c r="W77" s="903"/>
      <c r="X77" s="903"/>
      <c r="Y77" s="903"/>
      <c r="Z77" s="903"/>
      <c r="AA77" s="903"/>
      <c r="AB77" s="903"/>
      <c r="AC77" s="903"/>
    </row>
    <row r="78" spans="1:30" ht="15.6" hidden="1" customHeight="1">
      <c r="A78" s="1233" t="s">
        <v>1400</v>
      </c>
      <c r="B78" s="1234"/>
      <c r="C78" s="1235"/>
      <c r="D78" s="1002"/>
      <c r="E78" s="1003"/>
      <c r="F78" s="1004"/>
      <c r="G78" s="941"/>
      <c r="H78" s="944">
        <f>H77/D77-1</f>
        <v>6.0122100000000067E-2</v>
      </c>
      <c r="I78" s="945">
        <f>I77/E77-1</f>
        <v>6.0629621925235133E-2</v>
      </c>
      <c r="J78" s="946">
        <f>J77/F77-1</f>
        <v>5.7366029952216735E-2</v>
      </c>
      <c r="K78" s="919">
        <f>K77/E77-1</f>
        <v>6.558731969581455E-2</v>
      </c>
      <c r="L78" s="920">
        <f>L77/F77-1</f>
        <v>3.0443523451401111E-2</v>
      </c>
      <c r="M78" s="917"/>
      <c r="N78" s="918"/>
      <c r="O78" s="919">
        <f>O77/E77-1</f>
        <v>9.7696823482330997E-2</v>
      </c>
      <c r="P78" s="920">
        <f>P77/F77-1</f>
        <v>-0.14392538010712119</v>
      </c>
      <c r="Q78" s="917"/>
      <c r="R78" s="918"/>
      <c r="S78" s="919">
        <f>S77/$E77-1</f>
        <v>0.16046384166393368</v>
      </c>
      <c r="T78" s="920">
        <f>T77/$F77-1</f>
        <v>-0.48477823827429944</v>
      </c>
      <c r="U78" s="917"/>
      <c r="V78" s="918"/>
      <c r="W78" s="904"/>
      <c r="X78" s="903"/>
      <c r="Y78" s="903"/>
      <c r="Z78" s="903"/>
      <c r="AA78" s="903"/>
      <c r="AB78" s="903"/>
      <c r="AC78" s="903"/>
    </row>
    <row r="79" spans="1:30" ht="15.6" hidden="1" customHeight="1">
      <c r="A79" s="1233" t="s">
        <v>1401</v>
      </c>
      <c r="B79" s="1234"/>
      <c r="C79" s="1235"/>
      <c r="D79" s="1002"/>
      <c r="E79" s="1003"/>
      <c r="F79" s="1004"/>
      <c r="G79" s="941"/>
      <c r="H79" s="907">
        <f>H77-D77</f>
        <v>640052.83028988168</v>
      </c>
      <c r="I79" s="908">
        <f>I77-E77</f>
        <v>545080.86425043643</v>
      </c>
      <c r="J79" s="909">
        <f>J77-F77</f>
        <v>94971.966039441992</v>
      </c>
      <c r="K79" s="908">
        <f>K77-E77</f>
        <v>589652.24866072088</v>
      </c>
      <c r="L79" s="910">
        <f>L77-F77</f>
        <v>50400.581629157998</v>
      </c>
      <c r="M79" s="917"/>
      <c r="N79" s="918"/>
      <c r="O79" s="908">
        <f>O77-$E77</f>
        <v>878327.57796080783</v>
      </c>
      <c r="P79" s="910">
        <f>P77-$F77</f>
        <v>-238274.74767092708</v>
      </c>
      <c r="Q79" s="917"/>
      <c r="R79" s="918"/>
      <c r="S79" s="908">
        <f>S77-$E77</f>
        <v>1442624.3594753016</v>
      </c>
      <c r="T79" s="910">
        <f>T77-$F77</f>
        <v>-802571.52918542107</v>
      </c>
      <c r="U79" s="917"/>
      <c r="V79" s="918"/>
      <c r="W79" s="904"/>
      <c r="X79" s="903"/>
      <c r="Y79" s="903"/>
      <c r="Z79" s="903"/>
      <c r="AA79" s="903"/>
      <c r="AB79" s="903"/>
      <c r="AC79" s="903"/>
    </row>
    <row r="80" spans="1:30" ht="15.6" hidden="1" customHeight="1">
      <c r="A80" s="981" t="s">
        <v>1402</v>
      </c>
      <c r="B80" s="982"/>
      <c r="C80" s="982"/>
      <c r="D80" s="983"/>
      <c r="E80" s="983"/>
      <c r="F80" s="983"/>
      <c r="G80" s="983"/>
      <c r="H80" s="983">
        <f>H77-$H$11</f>
        <v>-385145.68335011974</v>
      </c>
      <c r="I80" s="986">
        <f>I77-$I$11</f>
        <v>336936.19061043486</v>
      </c>
      <c r="J80" s="986">
        <f>J77-$J$11</f>
        <v>-722081.87396055739</v>
      </c>
      <c r="K80" s="987">
        <f>K77-$I$11</f>
        <v>381507.57502071932</v>
      </c>
      <c r="L80" s="986">
        <f>L77-$J$11</f>
        <v>-766653.25837084139</v>
      </c>
      <c r="M80" s="988"/>
      <c r="N80" s="988"/>
      <c r="O80" s="987">
        <f>O77-$I$11</f>
        <v>670182.90432080626</v>
      </c>
      <c r="P80" s="986">
        <f>P77-$J$11</f>
        <v>-1055328.5876709265</v>
      </c>
      <c r="Q80" s="985"/>
      <c r="R80" s="985"/>
      <c r="S80" s="987">
        <f>S77-$I$11</f>
        <v>1234479.6858353</v>
      </c>
      <c r="T80" s="986">
        <f>T77-$J$11</f>
        <v>-1619625.3691854205</v>
      </c>
      <c r="U80" s="985"/>
      <c r="V80" s="985"/>
      <c r="W80" s="904"/>
      <c r="X80" s="903"/>
      <c r="Y80" s="903"/>
      <c r="Z80" s="903"/>
      <c r="AA80" s="903"/>
      <c r="AB80" s="903"/>
      <c r="AC80" s="903"/>
    </row>
    <row r="81" spans="6:10">
      <c r="F81" s="926"/>
      <c r="G81" s="926"/>
      <c r="J81" s="926"/>
    </row>
  </sheetData>
  <mergeCells count="57">
    <mergeCell ref="U71:V71"/>
    <mergeCell ref="A78:C78"/>
    <mergeCell ref="A79:C79"/>
    <mergeCell ref="H3:J3"/>
    <mergeCell ref="A67:C67"/>
    <mergeCell ref="A68:C68"/>
    <mergeCell ref="D71:F71"/>
    <mergeCell ref="H71:J71"/>
    <mergeCell ref="M71:N71"/>
    <mergeCell ref="Q71:R71"/>
    <mergeCell ref="U49:V49"/>
    <mergeCell ref="A56:C56"/>
    <mergeCell ref="A57:C57"/>
    <mergeCell ref="D60:F60"/>
    <mergeCell ref="H60:J60"/>
    <mergeCell ref="M60:N60"/>
    <mergeCell ref="Q60:R60"/>
    <mergeCell ref="U60:V60"/>
    <mergeCell ref="A45:C45"/>
    <mergeCell ref="A46:C46"/>
    <mergeCell ref="D49:F49"/>
    <mergeCell ref="H49:J49"/>
    <mergeCell ref="M49:N49"/>
    <mergeCell ref="Q49:R49"/>
    <mergeCell ref="U27:V27"/>
    <mergeCell ref="D38:F38"/>
    <mergeCell ref="H38:J38"/>
    <mergeCell ref="M38:N38"/>
    <mergeCell ref="Q38:R38"/>
    <mergeCell ref="U38:V38"/>
    <mergeCell ref="Q27:R27"/>
    <mergeCell ref="A34:C34"/>
    <mergeCell ref="A35:C35"/>
    <mergeCell ref="D27:F27"/>
    <mergeCell ref="H27:J27"/>
    <mergeCell ref="M27:N27"/>
    <mergeCell ref="S2:V2"/>
    <mergeCell ref="U5:V5"/>
    <mergeCell ref="U16:V16"/>
    <mergeCell ref="M5:N5"/>
    <mergeCell ref="M16:N16"/>
    <mergeCell ref="O2:R2"/>
    <mergeCell ref="Q5:R5"/>
    <mergeCell ref="Q16:R16"/>
    <mergeCell ref="A23:C23"/>
    <mergeCell ref="A24:C24"/>
    <mergeCell ref="B4:C4"/>
    <mergeCell ref="D5:F5"/>
    <mergeCell ref="H5:J5"/>
    <mergeCell ref="A11:C11"/>
    <mergeCell ref="A12:C12"/>
    <mergeCell ref="A13:C13"/>
    <mergeCell ref="D2:F2"/>
    <mergeCell ref="H2:J2"/>
    <mergeCell ref="K2:N2"/>
    <mergeCell ref="D16:F16"/>
    <mergeCell ref="H16:J16"/>
  </mergeCells>
  <pageMargins left="0.7" right="0.7" top="0.75" bottom="0.75" header="0.3" footer="0.3"/>
  <pageSetup scale="5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A7D3-8AF1-49DA-B9EC-2B9A1DE7DBC2}">
  <dimension ref="A1:AD32"/>
  <sheetViews>
    <sheetView showGridLines="0" topLeftCell="E1" zoomScale="85" zoomScaleNormal="85" zoomScaleSheetLayoutView="100" workbookViewId="0">
      <selection activeCell="P3" sqref="P3"/>
    </sheetView>
  </sheetViews>
  <sheetFormatPr defaultColWidth="7" defaultRowHeight="15"/>
  <cols>
    <col min="1" max="1" width="7" style="875"/>
    <col min="2" max="2" width="13.109375" style="875" customWidth="1"/>
    <col min="3" max="3" width="7" style="875" customWidth="1"/>
    <col min="4" max="6" width="11.88671875" style="875" customWidth="1"/>
    <col min="7" max="7" width="9.88671875" style="875" customWidth="1"/>
    <col min="8" max="22" width="11.88671875" style="875" customWidth="1"/>
    <col min="23" max="23" width="8.88671875" style="874" customWidth="1"/>
    <col min="24" max="24" width="9.109375" style="874" customWidth="1"/>
    <col min="25" max="28" width="7" style="874" customWidth="1"/>
    <col min="29" max="30" width="7" style="874"/>
    <col min="31" max="16384" width="7" style="875"/>
  </cols>
  <sheetData>
    <row r="1" spans="1:30" ht="24.95" customHeight="1" thickBot="1">
      <c r="A1" s="979" t="s">
        <v>1409</v>
      </c>
    </row>
    <row r="2" spans="1:30" ht="19.5" thickBot="1">
      <c r="A2" s="870"/>
      <c r="B2" s="871"/>
      <c r="C2" s="872"/>
      <c r="D2" s="1220" t="s">
        <v>1380</v>
      </c>
      <c r="E2" s="1221"/>
      <c r="F2" s="1221"/>
      <c r="G2" s="937"/>
      <c r="H2" s="1222" t="s">
        <v>1381</v>
      </c>
      <c r="I2" s="1223"/>
      <c r="J2" s="1224"/>
      <c r="K2" s="1225" t="s">
        <v>1304</v>
      </c>
      <c r="L2" s="1226"/>
      <c r="M2" s="1226"/>
      <c r="N2" s="1227"/>
      <c r="O2" s="1225" t="s">
        <v>1382</v>
      </c>
      <c r="P2" s="1226"/>
      <c r="Q2" s="1226"/>
      <c r="R2" s="1227"/>
      <c r="S2" s="1225" t="s">
        <v>1383</v>
      </c>
      <c r="T2" s="1226"/>
      <c r="U2" s="1226"/>
      <c r="V2" s="1227"/>
    </row>
    <row r="3" spans="1:30" ht="36" customHeight="1" thickBot="1">
      <c r="A3" s="947"/>
      <c r="B3" s="948"/>
      <c r="C3" s="949"/>
      <c r="D3" s="950"/>
      <c r="E3" s="951"/>
      <c r="F3" s="951"/>
      <c r="G3" s="943"/>
      <c r="H3" s="1248" t="s">
        <v>1384</v>
      </c>
      <c r="I3" s="1249"/>
      <c r="J3" s="1250"/>
      <c r="K3" s="955" t="s">
        <v>1385</v>
      </c>
      <c r="L3" s="980">
        <v>0.1</v>
      </c>
      <c r="M3" s="955" t="s">
        <v>1386</v>
      </c>
      <c r="N3" s="980">
        <v>0.2</v>
      </c>
      <c r="O3" s="955" t="s">
        <v>1385</v>
      </c>
      <c r="P3" s="980">
        <v>0.1</v>
      </c>
      <c r="Q3" s="955" t="s">
        <v>1386</v>
      </c>
      <c r="R3" s="980">
        <v>0.15</v>
      </c>
      <c r="S3" s="955" t="s">
        <v>1385</v>
      </c>
      <c r="T3" s="980">
        <v>0.05</v>
      </c>
      <c r="U3" s="955" t="s">
        <v>1386</v>
      </c>
      <c r="V3" s="980">
        <v>0.1</v>
      </c>
    </row>
    <row r="4" spans="1:30" ht="15.6" customHeight="1">
      <c r="A4" s="876"/>
      <c r="B4" s="1236" t="s">
        <v>95</v>
      </c>
      <c r="C4" s="1236"/>
      <c r="D4" s="877" t="s">
        <v>1260</v>
      </c>
      <c r="E4" s="878" t="s">
        <v>1387</v>
      </c>
      <c r="F4" s="880" t="s">
        <v>1388</v>
      </c>
      <c r="G4" s="938" t="s">
        <v>1389</v>
      </c>
      <c r="H4" s="877" t="s">
        <v>1260</v>
      </c>
      <c r="I4" s="878" t="s">
        <v>1387</v>
      </c>
      <c r="J4" s="879" t="s">
        <v>1388</v>
      </c>
      <c r="K4" s="953" t="s">
        <v>1387</v>
      </c>
      <c r="L4" s="954" t="s">
        <v>1388</v>
      </c>
      <c r="M4" s="956" t="s">
        <v>1390</v>
      </c>
      <c r="N4" s="957" t="s">
        <v>1391</v>
      </c>
      <c r="O4" s="953" t="s">
        <v>1387</v>
      </c>
      <c r="P4" s="954" t="s">
        <v>1388</v>
      </c>
      <c r="Q4" s="956" t="s">
        <v>1390</v>
      </c>
      <c r="R4" s="957" t="s">
        <v>1391</v>
      </c>
      <c r="S4" s="953" t="s">
        <v>1387</v>
      </c>
      <c r="T4" s="954" t="s">
        <v>1388</v>
      </c>
      <c r="U4" s="956" t="s">
        <v>1390</v>
      </c>
      <c r="V4" s="957" t="s">
        <v>1391</v>
      </c>
    </row>
    <row r="5" spans="1:30" ht="15.6" customHeight="1">
      <c r="A5" s="884" t="s">
        <v>1392</v>
      </c>
      <c r="B5" s="885"/>
      <c r="C5" s="886"/>
      <c r="D5" s="1237"/>
      <c r="E5" s="1238"/>
      <c r="F5" s="1238"/>
      <c r="G5" s="939"/>
      <c r="H5" s="1239" t="s">
        <v>79</v>
      </c>
      <c r="I5" s="1240"/>
      <c r="J5" s="1241"/>
      <c r="K5" s="888"/>
      <c r="L5" s="889"/>
      <c r="M5" s="1242" t="s">
        <v>1393</v>
      </c>
      <c r="N5" s="1243"/>
      <c r="O5" s="888"/>
      <c r="P5" s="889"/>
      <c r="Q5" s="1242" t="s">
        <v>1393</v>
      </c>
      <c r="R5" s="1243"/>
      <c r="S5" s="888"/>
      <c r="T5" s="889"/>
      <c r="U5" s="1242" t="s">
        <v>1393</v>
      </c>
      <c r="V5" s="1243"/>
    </row>
    <row r="6" spans="1:30" ht="15.6" customHeight="1">
      <c r="A6" s="891" t="s">
        <v>1394</v>
      </c>
      <c r="B6" s="892"/>
      <c r="C6" s="893">
        <v>39</v>
      </c>
      <c r="D6" s="894">
        <v>758.88</v>
      </c>
      <c r="E6" s="895">
        <f>D6-F6</f>
        <v>671.41</v>
      </c>
      <c r="F6" s="896">
        <v>87.47</v>
      </c>
      <c r="G6" s="940">
        <f>F6/D6</f>
        <v>0.11526196500105418</v>
      </c>
      <c r="H6" s="894">
        <f>D6*(1+'Kais 200 vs Reg 400'!$J$44)</f>
        <v>831.96014400000001</v>
      </c>
      <c r="I6" s="895">
        <f>H6-J6</f>
        <v>686.39014399999996</v>
      </c>
      <c r="J6" s="935">
        <v>145.57</v>
      </c>
      <c r="K6" s="894">
        <f>$H6-L6</f>
        <v>748.76412960000005</v>
      </c>
      <c r="L6" s="898">
        <f>H6*L$3</f>
        <v>83.19601440000001</v>
      </c>
      <c r="M6" s="899">
        <f>L6-$J6</f>
        <v>-62.373985599999983</v>
      </c>
      <c r="N6" s="900">
        <f>L6/$J6-1</f>
        <v>-0.42848104417118904</v>
      </c>
      <c r="O6" s="894">
        <f>$H6-P6</f>
        <v>748.76412960000005</v>
      </c>
      <c r="P6" s="898">
        <f>H6*P$3</f>
        <v>83.19601440000001</v>
      </c>
      <c r="Q6" s="899">
        <f>P6-$J6</f>
        <v>-62.373985599999983</v>
      </c>
      <c r="R6" s="900">
        <f>P6/$J6-1</f>
        <v>-0.42848104417118904</v>
      </c>
      <c r="S6" s="894">
        <f>$H6-T6</f>
        <v>790.36213680000003</v>
      </c>
      <c r="T6" s="898">
        <f>$H6*T$3</f>
        <v>41.598007200000005</v>
      </c>
      <c r="U6" s="899">
        <f>T6-$J6</f>
        <v>-103.97199279999998</v>
      </c>
      <c r="V6" s="900">
        <f>T6/$J6-1</f>
        <v>-0.71424052208559452</v>
      </c>
      <c r="W6" s="901"/>
      <c r="X6" s="902"/>
      <c r="AC6" s="902"/>
      <c r="AD6" s="902"/>
    </row>
    <row r="7" spans="1:30" ht="15.6" customHeight="1">
      <c r="A7" s="891" t="s">
        <v>1395</v>
      </c>
      <c r="B7" s="892"/>
      <c r="C7" s="893">
        <v>27</v>
      </c>
      <c r="D7" s="894">
        <v>1593.99</v>
      </c>
      <c r="E7" s="895">
        <f>D7-F7</f>
        <v>1410.27</v>
      </c>
      <c r="F7" s="896">
        <v>183.72</v>
      </c>
      <c r="G7" s="940">
        <f>(F7-$F$6)/(D7-$D$6)</f>
        <v>0.11525427787956077</v>
      </c>
      <c r="H7" s="894">
        <f>D7*(1+'Kais 200 vs Reg 400'!$J$44)</f>
        <v>1747.4912370000002</v>
      </c>
      <c r="I7" s="895">
        <f>H7-J7</f>
        <v>1441.6912370000002</v>
      </c>
      <c r="J7" s="935">
        <v>305.8</v>
      </c>
      <c r="K7" s="894">
        <f>$H7-L7</f>
        <v>1481.1890040000001</v>
      </c>
      <c r="L7" s="898">
        <f>((H7-$H$6)*$N$3)+$L$6</f>
        <v>266.30223300000006</v>
      </c>
      <c r="M7" s="899">
        <f>L7-$J7</f>
        <v>-39.497766999999953</v>
      </c>
      <c r="N7" s="900">
        <f>L7/$J7-1</f>
        <v>-0.12916208960104625</v>
      </c>
      <c r="O7" s="894">
        <f>$H7-P7</f>
        <v>1526.9655586500003</v>
      </c>
      <c r="P7" s="898">
        <f>(($H7-$H$6)*$R$3)+$P$6</f>
        <v>220.52567835000002</v>
      </c>
      <c r="Q7" s="899">
        <f>P7-$J7</f>
        <v>-85.27432164999999</v>
      </c>
      <c r="R7" s="900">
        <f>P7/$J7-1</f>
        <v>-0.27885651291693914</v>
      </c>
      <c r="S7" s="894">
        <f>$H7-T7</f>
        <v>1614.3401205000002</v>
      </c>
      <c r="T7" s="898">
        <f>(($H7-$H$6)*$V$3)+$T$6</f>
        <v>133.15111650000003</v>
      </c>
      <c r="U7" s="899">
        <f>T7-$J7</f>
        <v>-172.64888349999998</v>
      </c>
      <c r="V7" s="900">
        <f>T7/$J7-1</f>
        <v>-0.56458104480052307</v>
      </c>
      <c r="W7" s="901"/>
      <c r="X7" s="903"/>
      <c r="AC7" s="902"/>
      <c r="AD7" s="902"/>
    </row>
    <row r="8" spans="1:30" ht="15.6" customHeight="1">
      <c r="A8" s="891" t="s">
        <v>1396</v>
      </c>
      <c r="B8" s="892"/>
      <c r="C8" s="893">
        <v>15</v>
      </c>
      <c r="D8" s="894">
        <v>1366.28</v>
      </c>
      <c r="E8" s="895">
        <f>D8-F8</f>
        <v>1208.8499999999999</v>
      </c>
      <c r="F8" s="896">
        <v>157.43</v>
      </c>
      <c r="G8" s="940">
        <f>(F8-$F$6)/(D8-$D$6)</f>
        <v>0.11517945340796841</v>
      </c>
      <c r="H8" s="894">
        <f>D8*(1+'Kais 200 vs Reg 400'!$J$44)</f>
        <v>1497.852764</v>
      </c>
      <c r="I8" s="895">
        <f>H8-J8</f>
        <v>1235.792764</v>
      </c>
      <c r="J8" s="935">
        <v>262.06</v>
      </c>
      <c r="K8" s="894">
        <f>$H8-L8</f>
        <v>1281.4782255999999</v>
      </c>
      <c r="L8" s="898">
        <f>((H8-$H$6)*$N$3)+$L$6</f>
        <v>216.37453840000001</v>
      </c>
      <c r="M8" s="899">
        <f>L8-$J8</f>
        <v>-45.685461599999996</v>
      </c>
      <c r="N8" s="900">
        <f>L8/$J8-1</f>
        <v>-0.17433206746546592</v>
      </c>
      <c r="O8" s="894">
        <f>$H8-P8</f>
        <v>1314.7728566000001</v>
      </c>
      <c r="P8" s="898">
        <f>(($H8-$H$6)*$R$3)+$P$6</f>
        <v>183.0799074</v>
      </c>
      <c r="Q8" s="899">
        <f>P8-$J8</f>
        <v>-78.980092600000006</v>
      </c>
      <c r="R8" s="900">
        <f>P8/$J8-1</f>
        <v>-0.30138171640082423</v>
      </c>
      <c r="S8" s="894">
        <f>$H8-T8</f>
        <v>1389.6654948</v>
      </c>
      <c r="T8" s="898">
        <f>(($H8-$H$6)*$V$3)+$T$6</f>
        <v>108.1872692</v>
      </c>
      <c r="U8" s="899">
        <f>T8-$J8</f>
        <v>-153.8727308</v>
      </c>
      <c r="V8" s="900">
        <f>T8/$J8-1</f>
        <v>-0.58716603373273291</v>
      </c>
      <c r="W8" s="904"/>
      <c r="X8" s="902"/>
      <c r="AC8" s="902"/>
      <c r="AD8" s="902"/>
    </row>
    <row r="9" spans="1:30" ht="15.6" customHeight="1" thickBot="1">
      <c r="A9" s="968" t="s">
        <v>1397</v>
      </c>
      <c r="B9" s="969"/>
      <c r="C9" s="970">
        <v>59</v>
      </c>
      <c r="D9" s="971">
        <v>2201.27</v>
      </c>
      <c r="E9" s="972">
        <f>D9-F9</f>
        <v>1947.56</v>
      </c>
      <c r="F9" s="977">
        <v>253.71</v>
      </c>
      <c r="G9" s="974">
        <f>(F9-$F$6)/(D9-$D$6)</f>
        <v>0.11525315621988506</v>
      </c>
      <c r="H9" s="971">
        <f>D9*(1+'Kais 200 vs Reg 400'!$J$44)</f>
        <v>2413.252301</v>
      </c>
      <c r="I9" s="972">
        <f>H9-J9</f>
        <v>1990.952301</v>
      </c>
      <c r="J9" s="973">
        <v>422.3</v>
      </c>
      <c r="K9" s="971">
        <f>$H9-L9</f>
        <v>2013.7978552</v>
      </c>
      <c r="L9" s="975">
        <f>((H9-$H$6)*$N$3)+$L$6</f>
        <v>399.45444580000003</v>
      </c>
      <c r="M9" s="972">
        <f>L9-$J9</f>
        <v>-22.845554199999981</v>
      </c>
      <c r="N9" s="976">
        <f>L9/$J9-1</f>
        <v>-5.4097926118872763E-2</v>
      </c>
      <c r="O9" s="971">
        <f>$H9-P9</f>
        <v>2092.8624630499999</v>
      </c>
      <c r="P9" s="975">
        <f>(($H9-$H$6)*$R$3)+$P$6</f>
        <v>320.38983794999996</v>
      </c>
      <c r="Q9" s="972">
        <f>P9-$J9</f>
        <v>-101.91016205000005</v>
      </c>
      <c r="R9" s="976">
        <f>P9/$J9-1</f>
        <v>-0.24132171927539681</v>
      </c>
      <c r="S9" s="971">
        <f>$H9-T9</f>
        <v>2213.5250781</v>
      </c>
      <c r="T9" s="975">
        <f>(($H9-$H$6)*$V$3)+$T$6</f>
        <v>199.72722290000002</v>
      </c>
      <c r="U9" s="972">
        <f>T9-$J9</f>
        <v>-222.5727771</v>
      </c>
      <c r="V9" s="976">
        <f>T9/$J9-1</f>
        <v>-0.52704896305943638</v>
      </c>
      <c r="W9" s="904"/>
      <c r="X9" s="902"/>
      <c r="AC9" s="902"/>
      <c r="AD9" s="902"/>
    </row>
    <row r="10" spans="1:30" ht="15.6" customHeight="1">
      <c r="A10" s="958" t="s">
        <v>1398</v>
      </c>
      <c r="B10" s="959"/>
      <c r="C10" s="960">
        <f>SUM(C6:C9)</f>
        <v>140</v>
      </c>
      <c r="D10" s="961">
        <f>(D6*$C6)+(D7*$C7)+(D8*$C8)+(D9*$C9)</f>
        <v>223003.18</v>
      </c>
      <c r="E10" s="962">
        <f>(E6*$C6)+(E7*$C7)+(E8*$C8)+(E9*$C9)</f>
        <v>197301.07</v>
      </c>
      <c r="F10" s="989">
        <f>(F6*$C6)+(F7*$C7)+(F8*$C8)+(F9*$C9)</f>
        <v>25702.11</v>
      </c>
      <c r="G10" s="964"/>
      <c r="H10" s="961" cm="1">
        <f t="array" ref="H10">SUMPRODUCT($C$6:$C$9*H6:H9)</f>
        <v>244478.38623400001</v>
      </c>
      <c r="I10" s="962" cm="1">
        <f t="array" ref="I10">SUMPRODUCT($C$6:$C$9*I6:I9)</f>
        <v>201697.95623399998</v>
      </c>
      <c r="J10" s="963" cm="1">
        <f t="array" ref="J10">SUMPRODUCT($C$6:$C$9*J6:J9)</f>
        <v>42780.43</v>
      </c>
      <c r="K10" s="961" cm="1">
        <f t="array" ref="K10">SUMPRODUCT(K6:K9*C6:C9)</f>
        <v>207230.15100320001</v>
      </c>
      <c r="L10" s="965">
        <f>(L6*$C6)+(L7*$C7)+(L8*$C8)+(L9*$C9)</f>
        <v>37248.235230800005</v>
      </c>
      <c r="M10" s="966"/>
      <c r="N10" s="967"/>
      <c r="O10" s="961" cm="1">
        <f t="array" ref="O10">SUMPRODUCT(O6:O9*$C6:$C9)</f>
        <v>213630.3493069</v>
      </c>
      <c r="P10" s="965" cm="1">
        <f t="array" ref="P10">SUMPRODUCT(P6:P9*$C6:$C9)</f>
        <v>30848.036927099995</v>
      </c>
      <c r="Q10" s="966"/>
      <c r="R10" s="967"/>
      <c r="S10" s="961" cm="1">
        <f t="array" ref="S10">SUMPRODUCT(S6:S9*$C6:$C9)</f>
        <v>225854.26861860001</v>
      </c>
      <c r="T10" s="965" cm="1">
        <f t="array" ref="T10">SUMPRODUCT(T6:T9*$C6:$C9)</f>
        <v>18624.117615400002</v>
      </c>
      <c r="U10" s="966"/>
      <c r="V10" s="967"/>
      <c r="W10" s="904"/>
      <c r="X10" s="903"/>
      <c r="Y10" s="903"/>
      <c r="Z10" s="903"/>
      <c r="AA10" s="903"/>
      <c r="AB10" s="903"/>
      <c r="AC10" s="903"/>
    </row>
    <row r="11" spans="1:30" ht="15.6" customHeight="1">
      <c r="A11" s="1233" t="s">
        <v>1399</v>
      </c>
      <c r="B11" s="1234"/>
      <c r="C11" s="1235"/>
      <c r="D11" s="914">
        <f t="shared" ref="D11:L11" si="0">D10*12</f>
        <v>2676038.16</v>
      </c>
      <c r="E11" s="915">
        <f t="shared" si="0"/>
        <v>2367612.84</v>
      </c>
      <c r="F11" s="936">
        <f t="shared" si="0"/>
        <v>308425.32</v>
      </c>
      <c r="G11" s="941"/>
      <c r="H11" s="914">
        <f t="shared" si="0"/>
        <v>2933740.6348080002</v>
      </c>
      <c r="I11" s="915">
        <f t="shared" si="0"/>
        <v>2420375.474808</v>
      </c>
      <c r="J11" s="936">
        <f t="shared" si="0"/>
        <v>513365.16000000003</v>
      </c>
      <c r="K11" s="914">
        <f t="shared" si="0"/>
        <v>2486761.8120384002</v>
      </c>
      <c r="L11" s="916">
        <f t="shared" si="0"/>
        <v>446978.82276960008</v>
      </c>
      <c r="M11" s="917"/>
      <c r="N11" s="918"/>
      <c r="O11" s="914">
        <f>O10*12</f>
        <v>2563564.1916827997</v>
      </c>
      <c r="P11" s="916">
        <f>P10*12</f>
        <v>370176.44312519993</v>
      </c>
      <c r="Q11" s="917"/>
      <c r="R11" s="918"/>
      <c r="S11" s="914">
        <f>S10*12</f>
        <v>2710251.2234232002</v>
      </c>
      <c r="T11" s="916">
        <f>T10*12</f>
        <v>223489.41138480004</v>
      </c>
      <c r="U11" s="917"/>
      <c r="V11" s="918"/>
      <c r="W11" s="904"/>
      <c r="X11" s="903"/>
      <c r="Y11" s="903"/>
      <c r="Z11" s="903"/>
      <c r="AA11" s="903"/>
      <c r="AB11" s="903"/>
      <c r="AC11" s="903"/>
    </row>
    <row r="12" spans="1:30" ht="15.6" customHeight="1">
      <c r="A12" s="1233" t="s">
        <v>1400</v>
      </c>
      <c r="B12" s="1234"/>
      <c r="C12" s="1235"/>
      <c r="D12" s="914"/>
      <c r="E12" s="915"/>
      <c r="F12" s="936"/>
      <c r="G12" s="941"/>
      <c r="H12" s="944">
        <f>H11/D11-1</f>
        <v>9.6300000000000052E-2</v>
      </c>
      <c r="I12" s="945">
        <f>I11/E11-1</f>
        <v>2.2285161626341088E-2</v>
      </c>
      <c r="J12" s="946">
        <f>J11/F11-1</f>
        <v>0.6644715161517869</v>
      </c>
      <c r="K12" s="919">
        <f>K11/E11-1</f>
        <v>5.0324516756041993E-2</v>
      </c>
      <c r="L12" s="920">
        <f>L11/F11-1</f>
        <v>0.44922869098295837</v>
      </c>
      <c r="M12" s="917"/>
      <c r="N12" s="918"/>
      <c r="O12" s="919">
        <f>O11/$E11-1</f>
        <v>8.2763257730432027E-2</v>
      </c>
      <c r="P12" s="920">
        <f>P11/$F11-1</f>
        <v>0.20021418191346907</v>
      </c>
      <c r="Q12" s="917"/>
      <c r="R12" s="918"/>
      <c r="S12" s="919">
        <f>S11/$E11-1</f>
        <v>0.14471892432514455</v>
      </c>
      <c r="T12" s="920">
        <f>T11/$F11-1</f>
        <v>-0.27538565450852082</v>
      </c>
      <c r="U12" s="917"/>
      <c r="V12" s="918"/>
      <c r="W12" s="904"/>
      <c r="X12" s="903"/>
      <c r="Y12" s="903"/>
      <c r="Z12" s="903"/>
      <c r="AA12" s="903"/>
      <c r="AB12" s="903"/>
      <c r="AC12" s="903"/>
    </row>
    <row r="13" spans="1:30" ht="15.6" customHeight="1">
      <c r="A13" s="1233" t="s">
        <v>1401</v>
      </c>
      <c r="B13" s="1234"/>
      <c r="C13" s="1235"/>
      <c r="D13" s="914"/>
      <c r="E13" s="915"/>
      <c r="F13" s="936"/>
      <c r="G13" s="941"/>
      <c r="H13" s="907">
        <f>H11-D11</f>
        <v>257702.47480800003</v>
      </c>
      <c r="I13" s="908">
        <f>I11-E11</f>
        <v>52762.634808000177</v>
      </c>
      <c r="J13" s="909">
        <f>J11-F11</f>
        <v>204939.84000000003</v>
      </c>
      <c r="K13" s="908">
        <f>K11-E11</f>
        <v>119148.97203840036</v>
      </c>
      <c r="L13" s="910">
        <f>L11-F11</f>
        <v>138553.50276960008</v>
      </c>
      <c r="M13" s="917"/>
      <c r="N13" s="918"/>
      <c r="O13" s="908">
        <f>O11-$E11</f>
        <v>195951.35168279987</v>
      </c>
      <c r="P13" s="910">
        <f>P11-$F11</f>
        <v>61751.123125199927</v>
      </c>
      <c r="Q13" s="917"/>
      <c r="R13" s="918"/>
      <c r="S13" s="908">
        <f>S11-$E11</f>
        <v>342638.38342320034</v>
      </c>
      <c r="T13" s="910">
        <f>T11-$F11</f>
        <v>-84935.908615199965</v>
      </c>
      <c r="U13" s="917"/>
      <c r="V13" s="918"/>
      <c r="W13" s="904"/>
      <c r="X13" s="903"/>
      <c r="Y13" s="903"/>
      <c r="Z13" s="903"/>
      <c r="AA13" s="903"/>
      <c r="AB13" s="903"/>
      <c r="AC13" s="903"/>
    </row>
    <row r="14" spans="1:30" ht="15.6" customHeight="1">
      <c r="A14" s="981" t="s">
        <v>1402</v>
      </c>
      <c r="B14" s="982"/>
      <c r="C14" s="982"/>
      <c r="D14" s="983"/>
      <c r="E14" s="983"/>
      <c r="F14" s="983"/>
      <c r="G14" s="983"/>
      <c r="H14" s="983"/>
      <c r="I14" s="983"/>
      <c r="J14" s="983"/>
      <c r="K14" s="984">
        <f>K11-$I$11</f>
        <v>66386.337230400182</v>
      </c>
      <c r="L14" s="983">
        <f>L11-$J$11</f>
        <v>-66386.337230399949</v>
      </c>
      <c r="M14" s="985"/>
      <c r="N14" s="985"/>
      <c r="O14" s="984">
        <f>O11-$I$11</f>
        <v>143188.71687479969</v>
      </c>
      <c r="P14" s="983">
        <f>P11-$J$11</f>
        <v>-143188.7168748001</v>
      </c>
      <c r="Q14" s="985"/>
      <c r="R14" s="985"/>
      <c r="S14" s="984">
        <f>S11-$I$11</f>
        <v>289875.74861520017</v>
      </c>
      <c r="T14" s="983">
        <f>T11-$J$11</f>
        <v>-289875.74861519999</v>
      </c>
      <c r="U14" s="985"/>
      <c r="V14" s="985"/>
      <c r="W14" s="904"/>
      <c r="X14" s="903"/>
      <c r="Y14" s="903"/>
      <c r="Z14" s="903"/>
      <c r="AA14" s="903"/>
      <c r="AB14" s="903"/>
      <c r="AC14" s="903"/>
    </row>
    <row r="15" spans="1:30">
      <c r="F15" s="926"/>
      <c r="G15" s="926"/>
      <c r="J15" s="926"/>
    </row>
    <row r="16" spans="1:30" ht="15.6" customHeight="1">
      <c r="A16" s="927" t="s">
        <v>1410</v>
      </c>
      <c r="B16" s="928"/>
      <c r="C16" s="929"/>
      <c r="D16" s="1228"/>
      <c r="E16" s="1229"/>
      <c r="F16" s="1229"/>
      <c r="G16" s="942"/>
      <c r="H16" s="1230"/>
      <c r="I16" s="1231"/>
      <c r="J16" s="1232"/>
      <c r="K16" s="930"/>
      <c r="L16" s="931"/>
      <c r="M16" s="1244" t="s">
        <v>1393</v>
      </c>
      <c r="N16" s="1245"/>
      <c r="O16" s="930"/>
      <c r="P16" s="931"/>
      <c r="Q16" s="1244" t="s">
        <v>1393</v>
      </c>
      <c r="R16" s="1245"/>
      <c r="S16" s="930"/>
      <c r="T16" s="931"/>
      <c r="U16" s="1244" t="s">
        <v>1393</v>
      </c>
      <c r="V16" s="1245"/>
      <c r="W16" s="904"/>
    </row>
    <row r="17" spans="1:30" ht="15.6" customHeight="1">
      <c r="A17" s="891" t="s">
        <v>1394</v>
      </c>
      <c r="B17" s="892"/>
      <c r="C17" s="893">
        <f>C6</f>
        <v>39</v>
      </c>
      <c r="D17" s="993">
        <f>D6</f>
        <v>758.88</v>
      </c>
      <c r="E17" s="994">
        <f>E6</f>
        <v>671.41</v>
      </c>
      <c r="F17" s="995">
        <f>F6</f>
        <v>87.47</v>
      </c>
      <c r="G17" s="940">
        <f>G6</f>
        <v>0.11526196500105418</v>
      </c>
      <c r="H17" s="894">
        <f>D6*(1+($H$12-2.06%))</f>
        <v>816.32721600000002</v>
      </c>
      <c r="I17" s="895">
        <f>H17-J17</f>
        <v>685.56721600000003</v>
      </c>
      <c r="J17" s="1085">
        <v>130.76</v>
      </c>
      <c r="K17" s="894">
        <f>$H17-L17</f>
        <v>734.69449440000005</v>
      </c>
      <c r="L17" s="898">
        <f>H17*$L$3</f>
        <v>81.632721600000011</v>
      </c>
      <c r="M17" s="899">
        <f>L17-$J$6</f>
        <v>-63.937278399999983</v>
      </c>
      <c r="N17" s="900">
        <f>L17/$J6-1</f>
        <v>-0.43922015799958769</v>
      </c>
      <c r="O17" s="894">
        <f>$H17-P17</f>
        <v>734.69449440000005</v>
      </c>
      <c r="P17" s="898">
        <f>$H$17*$P$3</f>
        <v>81.632721600000011</v>
      </c>
      <c r="Q17" s="899">
        <f>P17-$J$6</f>
        <v>-63.937278399999983</v>
      </c>
      <c r="R17" s="900">
        <f>P17/$J$6-1</f>
        <v>-0.43922015799958769</v>
      </c>
      <c r="S17" s="894">
        <f>$H17-T17</f>
        <v>775.51085520000004</v>
      </c>
      <c r="T17" s="898">
        <f>H17*$T$3</f>
        <v>40.816360800000005</v>
      </c>
      <c r="U17" s="899">
        <f>T17-$J$6</f>
        <v>-104.75363919999998</v>
      </c>
      <c r="V17" s="900">
        <f>T17/$J6-1</f>
        <v>-0.7196100789997939</v>
      </c>
      <c r="W17" s="901"/>
      <c r="X17" s="932"/>
      <c r="AA17" s="902"/>
      <c r="AD17" s="902"/>
    </row>
    <row r="18" spans="1:30" ht="15.6" customHeight="1">
      <c r="A18" s="891" t="s">
        <v>1395</v>
      </c>
      <c r="B18" s="892"/>
      <c r="C18" s="893">
        <f>C7</f>
        <v>27</v>
      </c>
      <c r="D18" s="993">
        <f t="shared" ref="D18:G22" si="1">D7</f>
        <v>1593.99</v>
      </c>
      <c r="E18" s="994">
        <f t="shared" si="1"/>
        <v>1410.27</v>
      </c>
      <c r="F18" s="995">
        <f t="shared" si="1"/>
        <v>183.72</v>
      </c>
      <c r="G18" s="940">
        <f t="shared" si="1"/>
        <v>0.11525427787956077</v>
      </c>
      <c r="H18" s="894">
        <f t="shared" ref="H18:H20" si="2">D7*(1+($H$12-2.06%))</f>
        <v>1714.6550430000002</v>
      </c>
      <c r="I18" s="895">
        <f>H18-J18</f>
        <v>1439.9750430000001</v>
      </c>
      <c r="J18" s="1085">
        <v>274.68</v>
      </c>
      <c r="K18" s="894">
        <f>$H18-L18</f>
        <v>1453.3567560000001</v>
      </c>
      <c r="L18" s="898">
        <f>(($H$18-$H$17)*$N$3)+$L17</f>
        <v>261.29828700000007</v>
      </c>
      <c r="M18" s="899">
        <f>L18-$J$7</f>
        <v>-44.501712999999938</v>
      </c>
      <c r="N18" s="900">
        <f>L18/$J7-1</f>
        <v>-0.14552554937867868</v>
      </c>
      <c r="O18" s="894">
        <f>$H18-P18</f>
        <v>1498.2731473500003</v>
      </c>
      <c r="P18" s="898">
        <f>(($H$18-$H$17)*$R$3)+$P17</f>
        <v>216.38189565000005</v>
      </c>
      <c r="Q18" s="899">
        <f>P18-$J$7</f>
        <v>-89.418104349999965</v>
      </c>
      <c r="R18" s="900">
        <f>P18/$J$7-1</f>
        <v>-0.29240714306736415</v>
      </c>
      <c r="S18" s="894">
        <f>$H18-T18</f>
        <v>1584.0058995000002</v>
      </c>
      <c r="T18" s="898">
        <f>((H18-H17)*$V$3)+$T17</f>
        <v>130.64914350000004</v>
      </c>
      <c r="U18" s="899">
        <f>T18-$J$7</f>
        <v>-175.15085649999997</v>
      </c>
      <c r="V18" s="900">
        <f>T18/$J7-1</f>
        <v>-0.57276277468933934</v>
      </c>
      <c r="W18" s="901"/>
      <c r="X18" s="932"/>
      <c r="AD18" s="902"/>
    </row>
    <row r="19" spans="1:30" ht="15.6" customHeight="1">
      <c r="A19" s="891" t="s">
        <v>1396</v>
      </c>
      <c r="B19" s="892"/>
      <c r="C19" s="893">
        <f>C8</f>
        <v>15</v>
      </c>
      <c r="D19" s="993">
        <f t="shared" si="1"/>
        <v>1366.28</v>
      </c>
      <c r="E19" s="994">
        <f t="shared" si="1"/>
        <v>1208.8499999999999</v>
      </c>
      <c r="F19" s="995">
        <f t="shared" si="1"/>
        <v>157.43</v>
      </c>
      <c r="G19" s="940">
        <f t="shared" si="1"/>
        <v>0.11517945340796841</v>
      </c>
      <c r="H19" s="894">
        <f t="shared" si="2"/>
        <v>1469.707396</v>
      </c>
      <c r="I19" s="895">
        <f>H19-J19</f>
        <v>1234.3273960000001</v>
      </c>
      <c r="J19" s="1085">
        <v>235.38</v>
      </c>
      <c r="K19" s="894">
        <f>$H19-L19</f>
        <v>1257.3986384</v>
      </c>
      <c r="L19" s="898">
        <f>(($H$19-$H$17)*$N$3)+$L17</f>
        <v>212.30875760000004</v>
      </c>
      <c r="M19" s="899">
        <f>L19-$J$8</f>
        <v>-49.751242399999967</v>
      </c>
      <c r="N19" s="900">
        <f>L19/$J8-1</f>
        <v>-0.18984676181027238</v>
      </c>
      <c r="O19" s="894">
        <f>$H19-P19</f>
        <v>1290.0676473999999</v>
      </c>
      <c r="P19" s="898">
        <f>(($H$19-$H$17)*$R$3)+$P17</f>
        <v>179.63974860000002</v>
      </c>
      <c r="Q19" s="899">
        <f>P19-$J$8</f>
        <v>-82.420251399999984</v>
      </c>
      <c r="R19" s="900">
        <f>P19/$J$8-1</f>
        <v>-0.31450908723193161</v>
      </c>
      <c r="S19" s="894">
        <f>$H19-T19</f>
        <v>1363.5530171999999</v>
      </c>
      <c r="T19" s="898">
        <f>((H19-H17)*$V$3)+$T17</f>
        <v>106.15437880000002</v>
      </c>
      <c r="U19" s="899">
        <f>T19-$J$8</f>
        <v>-155.90562119999998</v>
      </c>
      <c r="V19" s="900">
        <f>T19/$J8-1</f>
        <v>-0.59492338090513619</v>
      </c>
      <c r="W19" s="904"/>
      <c r="X19" s="902"/>
      <c r="AD19" s="902"/>
    </row>
    <row r="20" spans="1:30" ht="15.6" customHeight="1" thickBot="1">
      <c r="A20" s="891" t="s">
        <v>1397</v>
      </c>
      <c r="B20" s="892"/>
      <c r="C20" s="893">
        <f>C9</f>
        <v>59</v>
      </c>
      <c r="D20" s="996">
        <f t="shared" si="1"/>
        <v>2201.27</v>
      </c>
      <c r="E20" s="997">
        <f t="shared" si="1"/>
        <v>1947.56</v>
      </c>
      <c r="F20" s="998">
        <f t="shared" si="1"/>
        <v>253.71</v>
      </c>
      <c r="G20" s="974">
        <f t="shared" si="1"/>
        <v>0.11525315621988506</v>
      </c>
      <c r="H20" s="971">
        <f t="shared" si="2"/>
        <v>2367.9061390000002</v>
      </c>
      <c r="I20" s="972">
        <f>H20-J20</f>
        <v>1988.5861390000002</v>
      </c>
      <c r="J20" s="1086">
        <v>379.32</v>
      </c>
      <c r="K20" s="971">
        <f>$H20-L20</f>
        <v>1975.9576328000001</v>
      </c>
      <c r="L20" s="975">
        <f>(($H$20-$H$17)*$N$3)+$L17</f>
        <v>391.94850620000005</v>
      </c>
      <c r="M20" s="972">
        <f>L20-$J$9</f>
        <v>-30.351493799999957</v>
      </c>
      <c r="N20" s="976">
        <f>L20/$J9-1</f>
        <v>-7.187187733838496E-2</v>
      </c>
      <c r="O20" s="971">
        <f>$H20-P20</f>
        <v>2053.5365789500001</v>
      </c>
      <c r="P20" s="975">
        <f>(($H$20-$H$17)*$R$3)+$P17</f>
        <v>314.36956005000002</v>
      </c>
      <c r="Q20" s="972">
        <f>P20-$J$9</f>
        <v>-107.93043994999999</v>
      </c>
      <c r="R20" s="976">
        <f>P20/$J$9-1</f>
        <v>-0.25557764610466494</v>
      </c>
      <c r="S20" s="971">
        <f>$H20-T20</f>
        <v>2171.9318859</v>
      </c>
      <c r="T20" s="975">
        <f>((H20-H17)*$V$3)+$T17</f>
        <v>195.97425310000003</v>
      </c>
      <c r="U20" s="972">
        <f>T20-$J$9</f>
        <v>-226.32574689999998</v>
      </c>
      <c r="V20" s="976">
        <f>T20/$J9-1</f>
        <v>-0.53593593866919242</v>
      </c>
      <c r="W20" s="904"/>
      <c r="X20" s="902"/>
      <c r="AC20" s="902"/>
      <c r="AD20" s="902"/>
    </row>
    <row r="21" spans="1:30" ht="15.6" customHeight="1">
      <c r="A21" s="905" t="s">
        <v>1398</v>
      </c>
      <c r="B21" s="892"/>
      <c r="C21" s="906">
        <f>SUM(C17:C20)</f>
        <v>140</v>
      </c>
      <c r="D21" s="999">
        <f t="shared" si="1"/>
        <v>223003.18</v>
      </c>
      <c r="E21" s="1000">
        <f t="shared" si="1"/>
        <v>197301.07</v>
      </c>
      <c r="F21" s="1001">
        <f t="shared" si="1"/>
        <v>25702.11</v>
      </c>
      <c r="G21" s="964"/>
      <c r="H21" s="961" cm="1">
        <f t="array" ref="H21">SUMPRODUCT($C$6:$C$9*H17:H20)</f>
        <v>239884.52072600002</v>
      </c>
      <c r="I21" s="962" cm="1">
        <f t="array" ref="I21">SUMPRODUCT($C$6:$C$9*I17:I20)</f>
        <v>201457.940726</v>
      </c>
      <c r="J21" s="963" cm="1">
        <f t="array" ref="J21">SUMPRODUCT($C$6:$C$9*J17:J20)</f>
        <v>38426.58</v>
      </c>
      <c r="K21" s="961" cm="1">
        <f t="array" ref="K21">SUMPRODUCT(K17:K20*C17:C20)</f>
        <v>203336.19760479999</v>
      </c>
      <c r="L21" s="965" cm="1">
        <f t="array" ref="L21">SUMPRODUCT(L17:L20*C17:C20)</f>
        <v>36548.32312120001</v>
      </c>
      <c r="M21" s="966"/>
      <c r="N21" s="967"/>
      <c r="O21" s="961" cm="1">
        <f t="array" ref="O21">SUMPRODUCT(O17:O20*$C17:$C20)</f>
        <v>209616.13312910002</v>
      </c>
      <c r="P21" s="965" cm="1">
        <f t="array" ref="P21">SUMPRODUCT(P17:P20*$C17:$C20)</f>
        <v>30268.3875969</v>
      </c>
      <c r="Q21" s="966"/>
      <c r="R21" s="967"/>
      <c r="S21" s="961" cm="1">
        <f t="array" ref="S21">SUMPRODUCT(S17:S20*$C17:$C20)</f>
        <v>221610.3591654</v>
      </c>
      <c r="T21" s="965" cm="1">
        <f t="array" ref="T21">SUMPRODUCT(T17:T20*$C17:$C20)</f>
        <v>18274.161560600005</v>
      </c>
      <c r="U21" s="966"/>
      <c r="V21" s="967"/>
      <c r="W21" s="904"/>
      <c r="X21" s="903"/>
      <c r="Y21" s="903"/>
      <c r="Z21" s="903"/>
      <c r="AA21" s="903"/>
      <c r="AC21" s="903"/>
    </row>
    <row r="22" spans="1:30" ht="15.6" customHeight="1">
      <c r="A22" s="905" t="s">
        <v>1399</v>
      </c>
      <c r="B22" s="933"/>
      <c r="C22" s="934"/>
      <c r="D22" s="1002">
        <f t="shared" si="1"/>
        <v>2676038.16</v>
      </c>
      <c r="E22" s="1003">
        <f t="shared" si="1"/>
        <v>2367612.84</v>
      </c>
      <c r="F22" s="1004">
        <f t="shared" si="1"/>
        <v>308425.32</v>
      </c>
      <c r="G22" s="941"/>
      <c r="H22" s="914">
        <f>H21*12</f>
        <v>2878614.2487120004</v>
      </c>
      <c r="I22" s="915">
        <f>I21*12</f>
        <v>2417495.288712</v>
      </c>
      <c r="J22" s="936">
        <f>J21*12</f>
        <v>461118.96</v>
      </c>
      <c r="K22" s="914">
        <f>K21*12</f>
        <v>2440034.3712575999</v>
      </c>
      <c r="L22" s="916">
        <f>L21*12</f>
        <v>438579.87745440012</v>
      </c>
      <c r="M22" s="917"/>
      <c r="N22" s="918"/>
      <c r="O22" s="914">
        <f>O21*12</f>
        <v>2515393.5975492001</v>
      </c>
      <c r="P22" s="916">
        <f>P21*12</f>
        <v>363220.65116280003</v>
      </c>
      <c r="Q22" s="917"/>
      <c r="R22" s="918"/>
      <c r="S22" s="914">
        <f>S21*12</f>
        <v>2659324.3099847999</v>
      </c>
      <c r="T22" s="916">
        <f>T21*12</f>
        <v>219289.93872720006</v>
      </c>
      <c r="U22" s="917"/>
      <c r="V22" s="918"/>
      <c r="W22" s="903"/>
      <c r="X22" s="903"/>
      <c r="Y22" s="903"/>
      <c r="Z22" s="903"/>
      <c r="AA22" s="903"/>
      <c r="AB22" s="903"/>
      <c r="AC22" s="903"/>
    </row>
    <row r="23" spans="1:30" ht="15.6" customHeight="1">
      <c r="A23" s="1233" t="s">
        <v>1400</v>
      </c>
      <c r="B23" s="1234"/>
      <c r="C23" s="1235"/>
      <c r="D23" s="1002"/>
      <c r="E23" s="1003"/>
      <c r="F23" s="1004"/>
      <c r="G23" s="941"/>
      <c r="H23" s="944">
        <f>H22/D22-1</f>
        <v>7.5700000000000101E-2</v>
      </c>
      <c r="I23" s="945">
        <f>I22/E22-1</f>
        <v>2.1068667929677209E-2</v>
      </c>
      <c r="J23" s="946">
        <f>J22/F22-1</f>
        <v>0.49507491797366066</v>
      </c>
      <c r="K23" s="919">
        <f>K22/E22-1</f>
        <v>3.0588418019223074E-2</v>
      </c>
      <c r="L23" s="920">
        <f>L22/F22-1</f>
        <v>0.42199699251151013</v>
      </c>
      <c r="M23" s="917"/>
      <c r="N23" s="918"/>
      <c r="O23" s="919">
        <f>O22/E22-1</f>
        <v>6.2417619575504624E-2</v>
      </c>
      <c r="P23" s="920">
        <f>P22/F22-1</f>
        <v>0.17766158486209904</v>
      </c>
      <c r="Q23" s="917"/>
      <c r="R23" s="918"/>
      <c r="S23" s="919">
        <f>S22/$E22-1</f>
        <v>0.12320910963838161</v>
      </c>
      <c r="T23" s="920">
        <f>T22/$F22-1</f>
        <v>-0.28900150374424494</v>
      </c>
      <c r="U23" s="917"/>
      <c r="V23" s="918"/>
      <c r="W23" s="904"/>
      <c r="X23" s="903"/>
      <c r="Y23" s="903"/>
      <c r="Z23" s="903"/>
      <c r="AA23" s="903"/>
      <c r="AB23" s="903"/>
      <c r="AC23" s="903"/>
    </row>
    <row r="24" spans="1:30" ht="15.6" customHeight="1">
      <c r="A24" s="1233" t="s">
        <v>1401</v>
      </c>
      <c r="B24" s="1234"/>
      <c r="C24" s="1235"/>
      <c r="D24" s="1002"/>
      <c r="E24" s="1003"/>
      <c r="F24" s="1004"/>
      <c r="G24" s="941"/>
      <c r="H24" s="907">
        <f>H22-D22</f>
        <v>202576.08871200029</v>
      </c>
      <c r="I24" s="908">
        <f>I22-E22</f>
        <v>49882.448712000158</v>
      </c>
      <c r="J24" s="909">
        <f>J22-F22</f>
        <v>152693.64000000001</v>
      </c>
      <c r="K24" s="908">
        <f>K22-E22</f>
        <v>72421.531257600058</v>
      </c>
      <c r="L24" s="910">
        <f>L22-F22</f>
        <v>130154.55745440011</v>
      </c>
      <c r="M24" s="917"/>
      <c r="N24" s="918"/>
      <c r="O24" s="908">
        <f>O22-$E22</f>
        <v>147780.75754920021</v>
      </c>
      <c r="P24" s="910">
        <f>P22-$F22</f>
        <v>54795.331162800023</v>
      </c>
      <c r="Q24" s="917"/>
      <c r="R24" s="918"/>
      <c r="S24" s="908">
        <f>S22-$E22</f>
        <v>291711.46998480009</v>
      </c>
      <c r="T24" s="910">
        <f>T22-$F22</f>
        <v>-89135.381272799947</v>
      </c>
      <c r="U24" s="917"/>
      <c r="V24" s="918"/>
      <c r="W24" s="904"/>
      <c r="X24" s="903"/>
      <c r="Y24" s="903"/>
      <c r="Z24" s="903"/>
      <c r="AA24" s="903"/>
      <c r="AB24" s="903"/>
      <c r="AC24" s="903"/>
    </row>
    <row r="25" spans="1:30" ht="15.6" customHeight="1">
      <c r="A25" s="981" t="s">
        <v>1402</v>
      </c>
      <c r="B25" s="982"/>
      <c r="C25" s="982"/>
      <c r="D25" s="1005"/>
      <c r="E25" s="1005"/>
      <c r="F25" s="1005"/>
      <c r="G25" s="983"/>
      <c r="H25" s="983">
        <f>H22-$H$11</f>
        <v>-55126.38609599974</v>
      </c>
      <c r="I25" s="986">
        <f>I22-$I$11</f>
        <v>-2880.1860960000195</v>
      </c>
      <c r="J25" s="986">
        <f>J22-$J$11</f>
        <v>-52246.200000000012</v>
      </c>
      <c r="K25" s="987">
        <f>K22-$I$11</f>
        <v>19658.896449599881</v>
      </c>
      <c r="L25" s="986">
        <f>L22-$J$11</f>
        <v>-74785.282545599912</v>
      </c>
      <c r="M25" s="988"/>
      <c r="N25" s="988"/>
      <c r="O25" s="987">
        <f>O22-$I$11</f>
        <v>95018.12274120003</v>
      </c>
      <c r="P25" s="986">
        <f>P22-$J$11</f>
        <v>-150144.5088372</v>
      </c>
      <c r="Q25" s="985"/>
      <c r="R25" s="985"/>
      <c r="S25" s="987">
        <f>S22-$I$11</f>
        <v>238948.83517679991</v>
      </c>
      <c r="T25" s="986">
        <f>T22-$J$11</f>
        <v>-294075.2212728</v>
      </c>
      <c r="U25" s="985"/>
      <c r="V25" s="985"/>
      <c r="W25" s="904"/>
      <c r="X25" s="903"/>
      <c r="Y25" s="903"/>
      <c r="Z25" s="903"/>
      <c r="AA25" s="903"/>
      <c r="AB25" s="903"/>
      <c r="AC25" s="903"/>
    </row>
    <row r="29" spans="1:30">
      <c r="I29" s="926"/>
      <c r="J29" s="1063"/>
      <c r="K29" s="926"/>
    </row>
    <row r="30" spans="1:30">
      <c r="I30" s="926"/>
      <c r="J30" s="1063"/>
      <c r="K30" s="926"/>
    </row>
    <row r="31" spans="1:30">
      <c r="K31" s="926"/>
    </row>
    <row r="32" spans="1:30">
      <c r="K32" s="1063"/>
    </row>
  </sheetData>
  <mergeCells count="22">
    <mergeCell ref="B4:C4"/>
    <mergeCell ref="H3:J3"/>
    <mergeCell ref="A12:C12"/>
    <mergeCell ref="A13:C13"/>
    <mergeCell ref="D5:F5"/>
    <mergeCell ref="H5:J5"/>
    <mergeCell ref="D2:F2"/>
    <mergeCell ref="H2:J2"/>
    <mergeCell ref="K2:N2"/>
    <mergeCell ref="O2:R2"/>
    <mergeCell ref="S2:V2"/>
    <mergeCell ref="Q16:R16"/>
    <mergeCell ref="U16:V16"/>
    <mergeCell ref="Q5:R5"/>
    <mergeCell ref="U5:V5"/>
    <mergeCell ref="A11:C11"/>
    <mergeCell ref="M5:N5"/>
    <mergeCell ref="A23:C23"/>
    <mergeCell ref="A24:C24"/>
    <mergeCell ref="D16:F16"/>
    <mergeCell ref="H16:J16"/>
    <mergeCell ref="M16:N16"/>
  </mergeCells>
  <pageMargins left="0.7" right="0.7" top="0.75" bottom="0.75" header="0.3" footer="0.3"/>
  <pageSetup scale="5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5232D-F6EB-4415-9588-4606F60DB076}">
  <dimension ref="A1:AD27"/>
  <sheetViews>
    <sheetView showGridLines="0" zoomScale="85" zoomScaleNormal="85" zoomScaleSheetLayoutView="100" workbookViewId="0">
      <selection activeCell="D27" sqref="D27"/>
    </sheetView>
  </sheetViews>
  <sheetFormatPr defaultColWidth="7" defaultRowHeight="15"/>
  <cols>
    <col min="1" max="1" width="7" style="875"/>
    <col min="2" max="2" width="13.109375" style="875" customWidth="1"/>
    <col min="3" max="3" width="7" style="875" customWidth="1"/>
    <col min="4" max="6" width="11.88671875" style="875" customWidth="1"/>
    <col min="7" max="7" width="9.5546875" style="875" customWidth="1"/>
    <col min="8" max="22" width="11.88671875" style="875" customWidth="1"/>
    <col min="23" max="23" width="8.88671875" style="874" customWidth="1"/>
    <col min="24" max="24" width="9.109375" style="874" customWidth="1"/>
    <col min="25" max="28" width="7" style="874" customWidth="1"/>
    <col min="29" max="30" width="7" style="874"/>
    <col min="31" max="16384" width="7" style="875"/>
  </cols>
  <sheetData>
    <row r="1" spans="1:30" ht="24.95" customHeight="1" thickBot="1">
      <c r="A1" s="979" t="s">
        <v>1411</v>
      </c>
    </row>
    <row r="2" spans="1:30" ht="19.5" thickBot="1">
      <c r="A2" s="870"/>
      <c r="B2" s="871"/>
      <c r="C2" s="872"/>
      <c r="D2" s="1220" t="s">
        <v>1380</v>
      </c>
      <c r="E2" s="1221"/>
      <c r="F2" s="1221"/>
      <c r="G2" s="937"/>
      <c r="H2" s="1222" t="s">
        <v>1381</v>
      </c>
      <c r="I2" s="1223"/>
      <c r="J2" s="1224"/>
      <c r="K2" s="1225" t="s">
        <v>1304</v>
      </c>
      <c r="L2" s="1226"/>
      <c r="M2" s="1226"/>
      <c r="N2" s="1227"/>
      <c r="O2" s="1225" t="s">
        <v>1382</v>
      </c>
      <c r="P2" s="1226"/>
      <c r="Q2" s="1226"/>
      <c r="R2" s="1227"/>
      <c r="S2" s="1225" t="s">
        <v>1383</v>
      </c>
      <c r="T2" s="1226"/>
      <c r="U2" s="1226"/>
      <c r="V2" s="1227"/>
    </row>
    <row r="3" spans="1:30" ht="37.5" customHeight="1" thickBot="1">
      <c r="A3" s="947"/>
      <c r="B3" s="948"/>
      <c r="C3" s="949"/>
      <c r="D3" s="950"/>
      <c r="E3" s="951"/>
      <c r="F3" s="951"/>
      <c r="G3" s="943"/>
      <c r="H3" s="1248" t="s">
        <v>1384</v>
      </c>
      <c r="I3" s="1249"/>
      <c r="J3" s="1250"/>
      <c r="K3" s="955" t="s">
        <v>1385</v>
      </c>
      <c r="L3" s="980">
        <v>0.1</v>
      </c>
      <c r="M3" s="955" t="s">
        <v>1386</v>
      </c>
      <c r="N3" s="980">
        <v>0.2</v>
      </c>
      <c r="O3" s="955" t="s">
        <v>1385</v>
      </c>
      <c r="P3" s="980">
        <v>0.1</v>
      </c>
      <c r="Q3" s="955" t="s">
        <v>1386</v>
      </c>
      <c r="R3" s="980">
        <v>0.15</v>
      </c>
      <c r="S3" s="955" t="s">
        <v>1385</v>
      </c>
      <c r="T3" s="980">
        <v>0.05</v>
      </c>
      <c r="U3" s="955" t="s">
        <v>1386</v>
      </c>
      <c r="V3" s="980">
        <v>0.1</v>
      </c>
    </row>
    <row r="4" spans="1:30" ht="15.6" customHeight="1">
      <c r="A4" s="876"/>
      <c r="B4" s="1236" t="s">
        <v>95</v>
      </c>
      <c r="C4" s="1236"/>
      <c r="D4" s="877" t="s">
        <v>1260</v>
      </c>
      <c r="E4" s="878" t="s">
        <v>1387</v>
      </c>
      <c r="F4" s="880" t="s">
        <v>1388</v>
      </c>
      <c r="G4" s="938" t="s">
        <v>1389</v>
      </c>
      <c r="H4" s="877" t="s">
        <v>1260</v>
      </c>
      <c r="I4" s="878" t="s">
        <v>1387</v>
      </c>
      <c r="J4" s="879" t="s">
        <v>1388</v>
      </c>
      <c r="K4" s="953" t="s">
        <v>1387</v>
      </c>
      <c r="L4" s="954" t="s">
        <v>1388</v>
      </c>
      <c r="M4" s="956" t="s">
        <v>1390</v>
      </c>
      <c r="N4" s="957" t="s">
        <v>1391</v>
      </c>
      <c r="O4" s="953" t="s">
        <v>1387</v>
      </c>
      <c r="P4" s="954" t="s">
        <v>1388</v>
      </c>
      <c r="Q4" s="956" t="s">
        <v>1390</v>
      </c>
      <c r="R4" s="957" t="s">
        <v>1391</v>
      </c>
      <c r="S4" s="953" t="s">
        <v>1387</v>
      </c>
      <c r="T4" s="954" t="s">
        <v>1388</v>
      </c>
      <c r="U4" s="956" t="s">
        <v>1390</v>
      </c>
      <c r="V4" s="957" t="s">
        <v>1391</v>
      </c>
    </row>
    <row r="5" spans="1:30" ht="15.6" customHeight="1">
      <c r="A5" s="884" t="s">
        <v>1392</v>
      </c>
      <c r="B5" s="885"/>
      <c r="C5" s="886"/>
      <c r="D5" s="1237"/>
      <c r="E5" s="1238"/>
      <c r="F5" s="1238"/>
      <c r="G5" s="939"/>
      <c r="H5" s="1239" t="s">
        <v>79</v>
      </c>
      <c r="I5" s="1240"/>
      <c r="J5" s="1241"/>
      <c r="K5" s="888"/>
      <c r="L5" s="889"/>
      <c r="M5" s="1242" t="s">
        <v>1393</v>
      </c>
      <c r="N5" s="1243"/>
      <c r="O5" s="888"/>
      <c r="P5" s="889"/>
      <c r="Q5" s="1242" t="s">
        <v>1393</v>
      </c>
      <c r="R5" s="1243"/>
      <c r="S5" s="888"/>
      <c r="T5" s="889"/>
      <c r="U5" s="1242" t="s">
        <v>1393</v>
      </c>
      <c r="V5" s="1243"/>
    </row>
    <row r="6" spans="1:30" ht="15.6" customHeight="1">
      <c r="A6" s="891" t="s">
        <v>1394</v>
      </c>
      <c r="B6" s="892"/>
      <c r="C6" s="893">
        <v>85</v>
      </c>
      <c r="D6" s="894">
        <v>862.83</v>
      </c>
      <c r="E6" s="895">
        <f>D6-F6</f>
        <v>714.54000000000008</v>
      </c>
      <c r="F6" s="935">
        <v>148.29</v>
      </c>
      <c r="G6" s="940">
        <f>F6/D6</f>
        <v>0.17186467786238308</v>
      </c>
      <c r="H6" s="894">
        <v>904.9</v>
      </c>
      <c r="I6" s="895">
        <f>H6-J6</f>
        <v>716.65</v>
      </c>
      <c r="J6" s="935">
        <v>188.25</v>
      </c>
      <c r="K6" s="894">
        <f>$H6-L6</f>
        <v>814.41</v>
      </c>
      <c r="L6" s="898">
        <f>H6*L$3</f>
        <v>90.490000000000009</v>
      </c>
      <c r="M6" s="899">
        <f>L6-$J6</f>
        <v>-97.759999999999991</v>
      </c>
      <c r="N6" s="900">
        <f>L6/$J6-1</f>
        <v>-0.51930942895086318</v>
      </c>
      <c r="O6" s="894">
        <f>$H6-P6</f>
        <v>814.41</v>
      </c>
      <c r="P6" s="898">
        <f>H6*P$3</f>
        <v>90.490000000000009</v>
      </c>
      <c r="Q6" s="899">
        <f>P6-$J6</f>
        <v>-97.759999999999991</v>
      </c>
      <c r="R6" s="900">
        <f>P6/$J6-1</f>
        <v>-0.51930942895086318</v>
      </c>
      <c r="S6" s="894">
        <f>$H6-T6</f>
        <v>859.65499999999997</v>
      </c>
      <c r="T6" s="898">
        <f>$H6*T$3</f>
        <v>45.245000000000005</v>
      </c>
      <c r="U6" s="899">
        <f>T6-$J6</f>
        <v>-143.005</v>
      </c>
      <c r="V6" s="900">
        <f>T6/$J6-1</f>
        <v>-0.75965471447543154</v>
      </c>
      <c r="W6" s="901"/>
      <c r="X6" s="902"/>
      <c r="AC6" s="902"/>
      <c r="AD6" s="902"/>
    </row>
    <row r="7" spans="1:30" ht="15.6" customHeight="1">
      <c r="A7" s="891" t="s">
        <v>1395</v>
      </c>
      <c r="B7" s="892"/>
      <c r="C7" s="893">
        <v>43</v>
      </c>
      <c r="D7" s="894">
        <v>1725.74</v>
      </c>
      <c r="E7" s="895">
        <f>D7-F7</f>
        <v>1358.87</v>
      </c>
      <c r="F7" s="935">
        <v>366.87</v>
      </c>
      <c r="G7" s="940">
        <f>(F7-$F$6)/(D7-$D$6)</f>
        <v>0.25330567498348616</v>
      </c>
      <c r="H7" s="894">
        <v>1809.9</v>
      </c>
      <c r="I7" s="895">
        <f>H7-J7</f>
        <v>1363.0800000000002</v>
      </c>
      <c r="J7" s="935">
        <v>446.82</v>
      </c>
      <c r="K7" s="894">
        <f>$H7-L7</f>
        <v>1538.41</v>
      </c>
      <c r="L7" s="898">
        <f>((H7-$H$6)*$N$3)+$L$6</f>
        <v>271.49</v>
      </c>
      <c r="M7" s="899">
        <f>L7-$J7</f>
        <v>-175.32999999999998</v>
      </c>
      <c r="N7" s="900">
        <f>L7/$J7-1</f>
        <v>-0.3923951479342912</v>
      </c>
      <c r="O7" s="894">
        <f>$H7-P7</f>
        <v>1583.66</v>
      </c>
      <c r="P7" s="898">
        <f>(($H7-$H$6)*$R$3)+$P$6</f>
        <v>226.24</v>
      </c>
      <c r="Q7" s="899">
        <f>P7-$J7</f>
        <v>-220.57999999999998</v>
      </c>
      <c r="R7" s="900">
        <f>P7/$J7-1</f>
        <v>-0.4936663533413902</v>
      </c>
      <c r="S7" s="894">
        <f>$H7-T7</f>
        <v>1674.1550000000002</v>
      </c>
      <c r="T7" s="898">
        <f>(($H7-$H$6)*$V$3)+$T$6</f>
        <v>135.745</v>
      </c>
      <c r="U7" s="899">
        <f>T7-$J7</f>
        <v>-311.07499999999999</v>
      </c>
      <c r="V7" s="900">
        <f>T7/$J7-1</f>
        <v>-0.69619757396714554</v>
      </c>
      <c r="W7" s="901"/>
      <c r="X7" s="903"/>
      <c r="AC7" s="902"/>
      <c r="AD7" s="902"/>
    </row>
    <row r="8" spans="1:30" ht="15.6" customHeight="1">
      <c r="A8" s="891" t="s">
        <v>1396</v>
      </c>
      <c r="B8" s="892"/>
      <c r="C8" s="893">
        <v>29</v>
      </c>
      <c r="D8" s="894">
        <v>1553.26</v>
      </c>
      <c r="E8" s="895">
        <f>D8-F8</f>
        <v>1230.07</v>
      </c>
      <c r="F8" s="935">
        <v>323.19</v>
      </c>
      <c r="G8" s="940">
        <f>(F8-$F$6)/(D8-$D$6)</f>
        <v>0.25332039453673799</v>
      </c>
      <c r="H8" s="894">
        <v>1629.01</v>
      </c>
      <c r="I8" s="895">
        <f>H8-J8</f>
        <v>1233.8499999999999</v>
      </c>
      <c r="J8" s="935">
        <v>395.16</v>
      </c>
      <c r="K8" s="894">
        <f>$H8-L8</f>
        <v>1393.6979999999999</v>
      </c>
      <c r="L8" s="898">
        <f>((H8-$H$6)*$N$3)+$L$6</f>
        <v>235.31200000000001</v>
      </c>
      <c r="M8" s="899">
        <f>L8-$J8</f>
        <v>-159.84800000000001</v>
      </c>
      <c r="N8" s="900">
        <f>L8/$J8-1</f>
        <v>-0.40451462698653706</v>
      </c>
      <c r="O8" s="894">
        <f>$H8-P8</f>
        <v>1429.9034999999999</v>
      </c>
      <c r="P8" s="898">
        <f>(($H8-$H$6)*$R$3)+$P$6</f>
        <v>199.10650000000001</v>
      </c>
      <c r="Q8" s="899">
        <f>P8-$J8</f>
        <v>-196.05350000000001</v>
      </c>
      <c r="R8" s="900">
        <f>P8/$J8-1</f>
        <v>-0.49613700779431114</v>
      </c>
      <c r="S8" s="894">
        <f>$H8-T8</f>
        <v>1511.354</v>
      </c>
      <c r="T8" s="898">
        <f>(($H8-$H$6)*$V$3)+$T$6</f>
        <v>117.65600000000001</v>
      </c>
      <c r="U8" s="899">
        <f>T8-$J8</f>
        <v>-277.50400000000002</v>
      </c>
      <c r="V8" s="900">
        <f>T8/$J8-1</f>
        <v>-0.70225731349326859</v>
      </c>
      <c r="W8" s="904"/>
      <c r="X8" s="902"/>
      <c r="AC8" s="902"/>
      <c r="AD8" s="902"/>
    </row>
    <row r="9" spans="1:30" ht="15.6" customHeight="1" thickBot="1">
      <c r="A9" s="968" t="s">
        <v>1397</v>
      </c>
      <c r="B9" s="969"/>
      <c r="C9" s="970">
        <v>84</v>
      </c>
      <c r="D9" s="971">
        <v>2588.9899999999998</v>
      </c>
      <c r="E9" s="972">
        <f>D9-F9</f>
        <v>2003.5199999999998</v>
      </c>
      <c r="F9" s="973">
        <v>585.47</v>
      </c>
      <c r="G9" s="974">
        <f>(F9-$F$6)/(D9-$D$6)</f>
        <v>0.25326736803077354</v>
      </c>
      <c r="H9" s="971">
        <v>2715.25</v>
      </c>
      <c r="I9" s="972">
        <f>H9-J9</f>
        <v>2009.83</v>
      </c>
      <c r="J9" s="973">
        <v>705.42</v>
      </c>
      <c r="K9" s="971">
        <f>$H9-L9</f>
        <v>2262.69</v>
      </c>
      <c r="L9" s="975">
        <f>((H9-$H$6)*$N$3)+$L$6</f>
        <v>452.56</v>
      </c>
      <c r="M9" s="972">
        <f>L9-$J9</f>
        <v>-252.85999999999996</v>
      </c>
      <c r="N9" s="976">
        <f>L9/$J9-1</f>
        <v>-0.35845312012701647</v>
      </c>
      <c r="O9" s="971">
        <f>$H9-P9</f>
        <v>2353.2075</v>
      </c>
      <c r="P9" s="975">
        <f>(($H9-$H$6)*$R$3)+$P$6</f>
        <v>362.04249999999996</v>
      </c>
      <c r="Q9" s="972">
        <f>P9-$J9</f>
        <v>-343.3775</v>
      </c>
      <c r="R9" s="976">
        <f>P9/$J9-1</f>
        <v>-0.4867702928751666</v>
      </c>
      <c r="S9" s="971">
        <f>$H9-T9</f>
        <v>2488.9699999999998</v>
      </c>
      <c r="T9" s="975">
        <f>(($H9-$H$6)*$V$3)+$T$6</f>
        <v>226.28</v>
      </c>
      <c r="U9" s="972">
        <f>T9-$J9</f>
        <v>-479.14</v>
      </c>
      <c r="V9" s="976">
        <f>T9/$J9-1</f>
        <v>-0.67922656006350823</v>
      </c>
      <c r="W9" s="904"/>
      <c r="X9" s="902"/>
      <c r="AC9" s="902"/>
      <c r="AD9" s="902"/>
    </row>
    <row r="10" spans="1:30" ht="15.6" customHeight="1">
      <c r="A10" s="958" t="s">
        <v>1398</v>
      </c>
      <c r="B10" s="959"/>
      <c r="C10" s="960">
        <f>SUM(C6:C9)</f>
        <v>241</v>
      </c>
      <c r="D10" s="961">
        <f>(D6*$C6)+(D7*$C7)+(D8*$C8)+(D9*$C9)</f>
        <v>410067.06999999995</v>
      </c>
      <c r="E10" s="962">
        <f>(E6*$C6)+(E7*$C7)+(E8*$C8)+(E9*$C9)</f>
        <v>323135.02</v>
      </c>
      <c r="F10" s="963">
        <f>(F6*$C6)+(F7*$C7)+(F8*$C8)+(F9*$C9)</f>
        <v>86932.05</v>
      </c>
      <c r="G10" s="964"/>
      <c r="H10" s="961" cm="1">
        <f t="array" ref="H10">SUMPRODUCT($C$6:$C$9*H6:H9)</f>
        <v>430064.49</v>
      </c>
      <c r="I10" s="962" cm="1">
        <f t="array" ref="I10">SUMPRODUCT($C$6:$C$9*I6:I9)</f>
        <v>324135.06</v>
      </c>
      <c r="J10" s="963" cm="1">
        <f t="array" ref="J10">SUMPRODUCT($C$6:$C$9*J6:J9)</f>
        <v>105929.43</v>
      </c>
      <c r="K10" s="961" cm="1">
        <f t="array" ref="K10">SUMPRODUCT(K6:K9*C6:C9)</f>
        <v>365859.68199999997</v>
      </c>
      <c r="L10" s="965">
        <f>(L6*$C6)+(L7*$C7)+(L8*$C8)+(L9*$C9)</f>
        <v>64204.808000000005</v>
      </c>
      <c r="M10" s="966"/>
      <c r="N10" s="967"/>
      <c r="O10" s="961" cm="1">
        <f t="array" ref="O10">SUMPRODUCT(O6:O9*$C6:$C9)</f>
        <v>376458.8615</v>
      </c>
      <c r="P10" s="965" cm="1">
        <f t="array" ref="P10">SUMPRODUCT(P6:P9*$C6:$C9)</f>
        <v>53605.628499999999</v>
      </c>
      <c r="Q10" s="966"/>
      <c r="R10" s="967"/>
      <c r="S10" s="961" cm="1">
        <f t="array" ref="S10">SUMPRODUCT(S6:S9*$C6:$C9)</f>
        <v>397962.08600000001</v>
      </c>
      <c r="T10" s="965" cm="1">
        <f t="array" ref="T10">SUMPRODUCT(T6:T9*$C6:$C9)</f>
        <v>32102.404000000002</v>
      </c>
      <c r="U10" s="966"/>
      <c r="V10" s="967"/>
      <c r="W10" s="904"/>
      <c r="X10" s="903"/>
      <c r="Y10" s="903"/>
      <c r="Z10" s="903"/>
      <c r="AA10" s="903"/>
      <c r="AB10" s="903"/>
      <c r="AC10" s="903"/>
    </row>
    <row r="11" spans="1:30" ht="15.6" customHeight="1">
      <c r="A11" s="1233" t="s">
        <v>1399</v>
      </c>
      <c r="B11" s="1234"/>
      <c r="C11" s="1235"/>
      <c r="D11" s="914">
        <f t="shared" ref="D11:L11" si="0">D10*12</f>
        <v>4920804.84</v>
      </c>
      <c r="E11" s="915">
        <f t="shared" si="0"/>
        <v>3877620.24</v>
      </c>
      <c r="F11" s="936">
        <f t="shared" si="0"/>
        <v>1043184.6000000001</v>
      </c>
      <c r="G11" s="941"/>
      <c r="H11" s="914">
        <f t="shared" si="0"/>
        <v>5160773.88</v>
      </c>
      <c r="I11" s="915">
        <f t="shared" si="0"/>
        <v>3889620.7199999997</v>
      </c>
      <c r="J11" s="936">
        <f t="shared" si="0"/>
        <v>1271153.1599999999</v>
      </c>
      <c r="K11" s="914">
        <f t="shared" si="0"/>
        <v>4390316.1839999994</v>
      </c>
      <c r="L11" s="916">
        <f t="shared" si="0"/>
        <v>770457.696</v>
      </c>
      <c r="M11" s="917"/>
      <c r="N11" s="918"/>
      <c r="O11" s="914">
        <f>O10*12</f>
        <v>4517506.3379999995</v>
      </c>
      <c r="P11" s="916">
        <f>P10*12</f>
        <v>643267.54200000002</v>
      </c>
      <c r="Q11" s="917"/>
      <c r="R11" s="918"/>
      <c r="S11" s="914">
        <f>S10*12</f>
        <v>4775545.0319999997</v>
      </c>
      <c r="T11" s="916">
        <f>T10*12</f>
        <v>385228.848</v>
      </c>
      <c r="U11" s="917"/>
      <c r="V11" s="918"/>
      <c r="W11" s="904"/>
      <c r="X11" s="903"/>
      <c r="Y11" s="903"/>
      <c r="Z11" s="903"/>
      <c r="AA11" s="903"/>
      <c r="AB11" s="903"/>
      <c r="AC11" s="903"/>
    </row>
    <row r="12" spans="1:30" ht="15.6" customHeight="1">
      <c r="A12" s="1233" t="s">
        <v>1400</v>
      </c>
      <c r="B12" s="1234"/>
      <c r="C12" s="1235"/>
      <c r="D12" s="914"/>
      <c r="E12" s="915"/>
      <c r="F12" s="936"/>
      <c r="G12" s="941"/>
      <c r="H12" s="944">
        <f>H11/D11-1</f>
        <v>4.8766217682390423E-2</v>
      </c>
      <c r="I12" s="945">
        <f>I11/E11-1</f>
        <v>3.0948053850676782E-3</v>
      </c>
      <c r="J12" s="946">
        <f>J11/F11-1</f>
        <v>0.21853137019085578</v>
      </c>
      <c r="K12" s="919">
        <f>K11/E11-1</f>
        <v>0.13221922526379193</v>
      </c>
      <c r="L12" s="920">
        <f>L11/F11-1</f>
        <v>-0.26143685786772553</v>
      </c>
      <c r="M12" s="917"/>
      <c r="N12" s="918"/>
      <c r="O12" s="919">
        <f>O11/$E11-1</f>
        <v>0.16502031101426251</v>
      </c>
      <c r="P12" s="920">
        <f>P11/$F11-1</f>
        <v>-0.38336173482622349</v>
      </c>
      <c r="Q12" s="917"/>
      <c r="R12" s="918"/>
      <c r="S12" s="919">
        <f>S11/$E11-1</f>
        <v>0.23156594416785881</v>
      </c>
      <c r="T12" s="920">
        <f>T11/$F11-1</f>
        <v>-0.63071842893386276</v>
      </c>
      <c r="U12" s="917"/>
      <c r="V12" s="918"/>
      <c r="W12" s="904"/>
      <c r="X12" s="903"/>
      <c r="Y12" s="903"/>
      <c r="Z12" s="903"/>
      <c r="AA12" s="903"/>
      <c r="AB12" s="903"/>
      <c r="AC12" s="903"/>
    </row>
    <row r="13" spans="1:30" ht="15.6" customHeight="1">
      <c r="A13" s="1233" t="s">
        <v>1401</v>
      </c>
      <c r="B13" s="1234"/>
      <c r="C13" s="1235"/>
      <c r="D13" s="914"/>
      <c r="E13" s="915"/>
      <c r="F13" s="936"/>
      <c r="G13" s="941"/>
      <c r="H13" s="907">
        <f>H11-D11</f>
        <v>239969.04000000004</v>
      </c>
      <c r="I13" s="908">
        <f>I11-E11</f>
        <v>12000.479999999516</v>
      </c>
      <c r="J13" s="909">
        <f>J11-F11</f>
        <v>227968.55999999982</v>
      </c>
      <c r="K13" s="908">
        <f>K11-E11</f>
        <v>512695.9439999992</v>
      </c>
      <c r="L13" s="910">
        <f>L11-F11</f>
        <v>-272726.9040000001</v>
      </c>
      <c r="M13" s="917"/>
      <c r="N13" s="918"/>
      <c r="O13" s="908">
        <f>O11-$E11</f>
        <v>639886.0979999993</v>
      </c>
      <c r="P13" s="910">
        <f>P11-$F11</f>
        <v>-399917.05800000008</v>
      </c>
      <c r="Q13" s="917"/>
      <c r="R13" s="918"/>
      <c r="S13" s="908">
        <f>S11-$E11</f>
        <v>897924.79199999943</v>
      </c>
      <c r="T13" s="910">
        <f>T11-$F11</f>
        <v>-657955.75200000009</v>
      </c>
      <c r="U13" s="917"/>
      <c r="V13" s="918"/>
      <c r="W13" s="904"/>
      <c r="X13" s="903"/>
      <c r="Y13" s="903"/>
      <c r="Z13" s="903"/>
      <c r="AA13" s="903"/>
      <c r="AB13" s="903"/>
      <c r="AC13" s="903"/>
    </row>
    <row r="14" spans="1:30" ht="15.6" customHeight="1">
      <c r="A14" s="981" t="s">
        <v>1402</v>
      </c>
      <c r="B14" s="982"/>
      <c r="C14" s="982"/>
      <c r="D14" s="983"/>
      <c r="E14" s="983"/>
      <c r="F14" s="983"/>
      <c r="G14" s="983"/>
      <c r="H14" s="983"/>
      <c r="I14" s="983"/>
      <c r="J14" s="983"/>
      <c r="K14" s="984">
        <f>K11-$I$11</f>
        <v>500695.46399999969</v>
      </c>
      <c r="L14" s="983">
        <f>L11-$J$11</f>
        <v>-500695.46399999992</v>
      </c>
      <c r="M14" s="985"/>
      <c r="N14" s="985"/>
      <c r="O14" s="984">
        <f>O11-$I$11</f>
        <v>627885.61799999978</v>
      </c>
      <c r="P14" s="983">
        <f>P11-$J$11</f>
        <v>-627885.6179999999</v>
      </c>
      <c r="Q14" s="985"/>
      <c r="R14" s="985"/>
      <c r="S14" s="984">
        <f>S11-$I$11</f>
        <v>885924.31199999992</v>
      </c>
      <c r="T14" s="983">
        <f>T11-$J$11</f>
        <v>-885924.31199999992</v>
      </c>
      <c r="U14" s="985"/>
      <c r="V14" s="985"/>
      <c r="W14" s="904"/>
      <c r="X14" s="903"/>
      <c r="Y14" s="903"/>
      <c r="Z14" s="903"/>
      <c r="AA14" s="903"/>
      <c r="AB14" s="903"/>
      <c r="AC14" s="903"/>
    </row>
    <row r="15" spans="1:30" ht="15.6" customHeight="1">
      <c r="A15" s="912"/>
      <c r="B15" s="913"/>
      <c r="C15" s="913"/>
      <c r="D15" s="915"/>
      <c r="E15" s="915"/>
      <c r="F15" s="915"/>
      <c r="G15" s="915"/>
      <c r="H15" s="915"/>
      <c r="I15" s="915"/>
      <c r="J15" s="915"/>
      <c r="K15" s="915"/>
      <c r="L15" s="915"/>
      <c r="M15" s="978"/>
      <c r="N15" s="978"/>
      <c r="O15" s="915"/>
      <c r="P15" s="915"/>
      <c r="Q15" s="978"/>
      <c r="R15" s="978"/>
      <c r="S15" s="915"/>
      <c r="T15" s="915"/>
      <c r="U15" s="978"/>
      <c r="V15" s="978"/>
      <c r="W15" s="904"/>
      <c r="X15" s="903"/>
      <c r="Y15" s="903"/>
      <c r="Z15" s="903"/>
      <c r="AA15" s="903"/>
      <c r="AB15" s="903"/>
      <c r="AC15" s="903"/>
    </row>
    <row r="16" spans="1:30" ht="15.6" customHeight="1">
      <c r="A16" s="927" t="s">
        <v>1412</v>
      </c>
      <c r="B16" s="928"/>
      <c r="C16" s="929"/>
      <c r="D16" s="1228"/>
      <c r="E16" s="1229"/>
      <c r="F16" s="1229"/>
      <c r="G16" s="942"/>
      <c r="H16" s="1230"/>
      <c r="I16" s="1231"/>
      <c r="J16" s="1232"/>
      <c r="K16" s="930"/>
      <c r="L16" s="931"/>
      <c r="M16" s="1244" t="s">
        <v>1393</v>
      </c>
      <c r="N16" s="1245"/>
      <c r="O16" s="930"/>
      <c r="P16" s="931"/>
      <c r="Q16" s="1244" t="s">
        <v>1393</v>
      </c>
      <c r="R16" s="1245"/>
      <c r="S16" s="930"/>
      <c r="T16" s="931"/>
      <c r="U16" s="1244" t="s">
        <v>1393</v>
      </c>
      <c r="V16" s="1245"/>
      <c r="W16" s="904"/>
    </row>
    <row r="17" spans="1:30" ht="15.6" customHeight="1">
      <c r="A17" s="891" t="s">
        <v>1394</v>
      </c>
      <c r="B17" s="892"/>
      <c r="C17" s="893">
        <f>C6</f>
        <v>85</v>
      </c>
      <c r="D17" s="993">
        <f>D6</f>
        <v>862.83</v>
      </c>
      <c r="E17" s="994">
        <f>E6</f>
        <v>714.54000000000008</v>
      </c>
      <c r="F17" s="995">
        <f>F6</f>
        <v>148.29</v>
      </c>
      <c r="G17" s="940">
        <f>G6</f>
        <v>0.17186467786238308</v>
      </c>
      <c r="H17" s="894">
        <f>'Kais 200 vs Reg 400'!G37</f>
        <v>859.29</v>
      </c>
      <c r="I17" s="895">
        <f>H17-J17</f>
        <v>714.37</v>
      </c>
      <c r="J17" s="1085">
        <v>144.91999999999999</v>
      </c>
      <c r="K17" s="894">
        <f>$H17-L17</f>
        <v>773.36099999999999</v>
      </c>
      <c r="L17" s="898">
        <f>H17*$L$3</f>
        <v>85.929000000000002</v>
      </c>
      <c r="M17" s="899">
        <f>L17-$J$6</f>
        <v>-102.321</v>
      </c>
      <c r="N17" s="900">
        <f>L17/$J6-1</f>
        <v>-0.54353784860557774</v>
      </c>
      <c r="O17" s="894">
        <f>$H17-P17</f>
        <v>773.36099999999999</v>
      </c>
      <c r="P17" s="898">
        <f>$H$17*$P$3</f>
        <v>85.929000000000002</v>
      </c>
      <c r="Q17" s="899">
        <f>P17-$J$6</f>
        <v>-102.321</v>
      </c>
      <c r="R17" s="900">
        <f>P17/$J$6-1</f>
        <v>-0.54353784860557774</v>
      </c>
      <c r="S17" s="894">
        <f>$H17-T17</f>
        <v>816.32549999999992</v>
      </c>
      <c r="T17" s="898">
        <f>H17*$T$3</f>
        <v>42.964500000000001</v>
      </c>
      <c r="U17" s="899">
        <f>T17-$J$6</f>
        <v>-145.28550000000001</v>
      </c>
      <c r="V17" s="900">
        <f>T17/$J6-1</f>
        <v>-0.77176892430278887</v>
      </c>
      <c r="W17" s="901"/>
      <c r="X17" s="932"/>
      <c r="AA17" s="902"/>
      <c r="AD17" s="902"/>
    </row>
    <row r="18" spans="1:30" ht="15.6" customHeight="1">
      <c r="A18" s="891" t="s">
        <v>1395</v>
      </c>
      <c r="B18" s="892"/>
      <c r="C18" s="893">
        <f>C7</f>
        <v>43</v>
      </c>
      <c r="D18" s="993">
        <f t="shared" ref="D18:G22" si="1">D7</f>
        <v>1725.74</v>
      </c>
      <c r="E18" s="994">
        <f t="shared" si="1"/>
        <v>1358.87</v>
      </c>
      <c r="F18" s="995">
        <f t="shared" si="1"/>
        <v>366.87</v>
      </c>
      <c r="G18" s="940">
        <f t="shared" si="1"/>
        <v>0.25330567498348616</v>
      </c>
      <c r="H18" s="894">
        <f>'Kais 200 vs Reg 400'!G38</f>
        <v>1718.66</v>
      </c>
      <c r="I18" s="895">
        <f>H18-J18</f>
        <v>1358.52</v>
      </c>
      <c r="J18" s="1085">
        <v>360.14</v>
      </c>
      <c r="K18" s="894">
        <f>$H18-L18</f>
        <v>1460.857</v>
      </c>
      <c r="L18" s="898">
        <f>(($H$18-$H$17)*$N$3)+$L17</f>
        <v>257.803</v>
      </c>
      <c r="M18" s="899">
        <f>L18-$J$7</f>
        <v>-189.017</v>
      </c>
      <c r="N18" s="900">
        <f>L18/$J7-1</f>
        <v>-0.42302716977753907</v>
      </c>
      <c r="O18" s="894">
        <f>$H18-P18</f>
        <v>1503.8255000000001</v>
      </c>
      <c r="P18" s="898">
        <f>(($H$18-$H$17)*$R$3)+$P17</f>
        <v>214.83450000000002</v>
      </c>
      <c r="Q18" s="899">
        <f>P18-$J$7</f>
        <v>-231.98549999999997</v>
      </c>
      <c r="R18" s="900">
        <f>P18/$J$7-1</f>
        <v>-0.51919229219820062</v>
      </c>
      <c r="S18" s="894">
        <f>$H18-T18</f>
        <v>1589.7585000000001</v>
      </c>
      <c r="T18" s="898">
        <f>((H18-H17)*$V$3)+$T17</f>
        <v>128.9015</v>
      </c>
      <c r="U18" s="899">
        <f>T18-$J$7</f>
        <v>-317.91849999999999</v>
      </c>
      <c r="V18" s="900">
        <f>T18/$J7-1</f>
        <v>-0.71151358488876948</v>
      </c>
      <c r="W18" s="901"/>
      <c r="X18" s="932"/>
      <c r="AD18" s="902"/>
    </row>
    <row r="19" spans="1:30" ht="15.6" customHeight="1">
      <c r="A19" s="891" t="s">
        <v>1396</v>
      </c>
      <c r="B19" s="892"/>
      <c r="C19" s="893">
        <f>C8</f>
        <v>29</v>
      </c>
      <c r="D19" s="993">
        <f t="shared" si="1"/>
        <v>1553.26</v>
      </c>
      <c r="E19" s="994">
        <f t="shared" si="1"/>
        <v>1230.07</v>
      </c>
      <c r="F19" s="995">
        <f t="shared" si="1"/>
        <v>323.19</v>
      </c>
      <c r="G19" s="940">
        <f t="shared" si="1"/>
        <v>0.25332039453673799</v>
      </c>
      <c r="H19" s="894">
        <f>'Kais 200 vs Reg 400'!G39</f>
        <v>1546.89</v>
      </c>
      <c r="I19" s="895">
        <f>H19-J19</f>
        <v>1229.75</v>
      </c>
      <c r="J19" s="1085">
        <v>317.14</v>
      </c>
      <c r="K19" s="894">
        <f>$H19-L19</f>
        <v>1323.441</v>
      </c>
      <c r="L19" s="898">
        <f>(($H$19-$H$17)*$N$3)+$L17</f>
        <v>223.44900000000004</v>
      </c>
      <c r="M19" s="899">
        <f>L19-$J$8</f>
        <v>-171.71099999999998</v>
      </c>
      <c r="N19" s="900">
        <f>L19/$J8-1</f>
        <v>-0.43453537807470388</v>
      </c>
      <c r="O19" s="894">
        <f>$H19-P19</f>
        <v>1357.8210000000001</v>
      </c>
      <c r="P19" s="898">
        <f>(($H$19-$H$17)*$R$3)+$P17</f>
        <v>189.06900000000002</v>
      </c>
      <c r="Q19" s="899">
        <f>P19-$J$8</f>
        <v>-206.09100000000001</v>
      </c>
      <c r="R19" s="900">
        <f>P19/$J$8-1</f>
        <v>-0.52153811114485271</v>
      </c>
      <c r="S19" s="894">
        <f>$H19-T19</f>
        <v>1435.1655000000001</v>
      </c>
      <c r="T19" s="898">
        <f>((H19-H17)*$V$3)+$T17</f>
        <v>111.72450000000002</v>
      </c>
      <c r="U19" s="899">
        <f>T19-$J$8</f>
        <v>-283.43549999999999</v>
      </c>
      <c r="V19" s="900">
        <f>T19/$J8-1</f>
        <v>-0.71726768903735194</v>
      </c>
      <c r="W19" s="904"/>
      <c r="X19" s="902"/>
      <c r="AD19" s="902"/>
    </row>
    <row r="20" spans="1:30" ht="15.6" customHeight="1" thickBot="1">
      <c r="A20" s="891" t="s">
        <v>1397</v>
      </c>
      <c r="B20" s="892"/>
      <c r="C20" s="893">
        <f>C9</f>
        <v>84</v>
      </c>
      <c r="D20" s="996">
        <f t="shared" si="1"/>
        <v>2588.9899999999998</v>
      </c>
      <c r="E20" s="997">
        <f t="shared" si="1"/>
        <v>2003.5199999999998</v>
      </c>
      <c r="F20" s="998">
        <f t="shared" si="1"/>
        <v>585.47</v>
      </c>
      <c r="G20" s="974">
        <f t="shared" si="1"/>
        <v>0.25326736803077354</v>
      </c>
      <c r="H20" s="894">
        <f>'Kais 200 vs Reg 400'!G40</f>
        <v>2578.38</v>
      </c>
      <c r="I20" s="972">
        <f>H20-J20</f>
        <v>2002.9900000000002</v>
      </c>
      <c r="J20" s="1086">
        <v>575.39</v>
      </c>
      <c r="K20" s="971">
        <f>$H20-L20</f>
        <v>2148.6329999999998</v>
      </c>
      <c r="L20" s="975">
        <f>(($H$20-$H$17)*$N$3)+$L17</f>
        <v>429.74700000000007</v>
      </c>
      <c r="M20" s="972">
        <f>L20-$J$9</f>
        <v>-275.67299999999989</v>
      </c>
      <c r="N20" s="976">
        <f>L20/$J9-1</f>
        <v>-0.39079271923109626</v>
      </c>
      <c r="O20" s="971">
        <f>$H20-P20</f>
        <v>2234.5875000000001</v>
      </c>
      <c r="P20" s="975">
        <f>(($H$20-$H$17)*$R$3)+$P17</f>
        <v>343.79250000000002</v>
      </c>
      <c r="Q20" s="972">
        <f>P20-$J$9</f>
        <v>-361.62749999999994</v>
      </c>
      <c r="R20" s="976">
        <f>P20/$J$9-1</f>
        <v>-0.51264140512035383</v>
      </c>
      <c r="S20" s="971">
        <f>$H20-T20</f>
        <v>2363.5065</v>
      </c>
      <c r="T20" s="975">
        <f>((H20-H17)*$V$3)+$T17</f>
        <v>214.87350000000004</v>
      </c>
      <c r="U20" s="972">
        <f>T20-$J$9</f>
        <v>-490.54649999999992</v>
      </c>
      <c r="V20" s="976">
        <f>T20/$J9-1</f>
        <v>-0.69539635961554813</v>
      </c>
      <c r="W20" s="904"/>
      <c r="X20" s="902"/>
      <c r="AC20" s="902"/>
      <c r="AD20" s="902"/>
    </row>
    <row r="21" spans="1:30" ht="15.6" customHeight="1">
      <c r="A21" s="905" t="s">
        <v>1398</v>
      </c>
      <c r="B21" s="892"/>
      <c r="C21" s="906">
        <f>SUM(C17:C20)</f>
        <v>241</v>
      </c>
      <c r="D21" s="999">
        <f t="shared" si="1"/>
        <v>410067.06999999995</v>
      </c>
      <c r="E21" s="1000">
        <f t="shared" si="1"/>
        <v>323135.02</v>
      </c>
      <c r="F21" s="1001">
        <f t="shared" si="1"/>
        <v>86932.05</v>
      </c>
      <c r="G21" s="964"/>
      <c r="H21" s="961" cm="1">
        <f t="array" ref="H21">SUMPRODUCT($C$6:$C$9*H17:H20)</f>
        <v>408385.76</v>
      </c>
      <c r="I21" s="962" cm="1">
        <f t="array" ref="I21">SUMPRODUCT($C$6:$C$9*I17:I20)</f>
        <v>323051.72000000003</v>
      </c>
      <c r="J21" s="963" cm="1">
        <f t="array" ref="J21">SUMPRODUCT($C$6:$C$9*J17:J20)</f>
        <v>85334.040000000008</v>
      </c>
      <c r="K21" s="961" cm="1">
        <f t="array" ref="K21">SUMPRODUCT(K17:K20*C17:C20)</f>
        <v>347417.49699999997</v>
      </c>
      <c r="L21" s="965" cm="1">
        <f t="array" ref="L21">SUMPRODUCT(L17:L20*C17:C20)</f>
        <v>60968.263000000006</v>
      </c>
      <c r="M21" s="966"/>
      <c r="N21" s="967"/>
      <c r="O21" s="961" cm="1">
        <f t="array" ref="O21">SUMPRODUCT(O17:O20*$C17:$C20)</f>
        <v>357482.34050000005</v>
      </c>
      <c r="P21" s="965" cm="1">
        <f t="array" ref="P21">SUMPRODUCT(P17:P20*$C17:$C20)</f>
        <v>50903.419500000004</v>
      </c>
      <c r="Q21" s="966"/>
      <c r="R21" s="967"/>
      <c r="S21" s="961" cm="1">
        <f t="array" ref="S21">SUMPRODUCT(S17:S20*$C17:$C20)</f>
        <v>377901.62849999999</v>
      </c>
      <c r="T21" s="965" cm="1">
        <f t="array" ref="T21">SUMPRODUCT(T17:T20*$C17:$C20)</f>
        <v>30484.131500000003</v>
      </c>
      <c r="U21" s="966"/>
      <c r="V21" s="967"/>
      <c r="W21" s="904"/>
      <c r="X21" s="903"/>
      <c r="Y21" s="903"/>
      <c r="Z21" s="903"/>
      <c r="AA21" s="903"/>
      <c r="AC21" s="903"/>
    </row>
    <row r="22" spans="1:30" ht="15.6" customHeight="1">
      <c r="A22" s="905" t="s">
        <v>1399</v>
      </c>
      <c r="B22" s="933"/>
      <c r="C22" s="934"/>
      <c r="D22" s="1002">
        <f t="shared" si="1"/>
        <v>4920804.84</v>
      </c>
      <c r="E22" s="1003">
        <f t="shared" si="1"/>
        <v>3877620.24</v>
      </c>
      <c r="F22" s="1004">
        <f t="shared" si="1"/>
        <v>1043184.6000000001</v>
      </c>
      <c r="G22" s="941"/>
      <c r="H22" s="914">
        <f>H21*12</f>
        <v>4900629.12</v>
      </c>
      <c r="I22" s="915">
        <f>I21*12</f>
        <v>3876620.6400000006</v>
      </c>
      <c r="J22" s="936">
        <f>J21*12</f>
        <v>1024008.4800000001</v>
      </c>
      <c r="K22" s="914">
        <f>K21*12</f>
        <v>4169009.9639999997</v>
      </c>
      <c r="L22" s="916">
        <f>L21*12</f>
        <v>731619.15600000008</v>
      </c>
      <c r="M22" s="917"/>
      <c r="N22" s="918"/>
      <c r="O22" s="914">
        <f>O21*12</f>
        <v>4289788.0860000011</v>
      </c>
      <c r="P22" s="916">
        <f>P21*12</f>
        <v>610841.03399999999</v>
      </c>
      <c r="Q22" s="917"/>
      <c r="R22" s="918"/>
      <c r="S22" s="914">
        <f>S21*12</f>
        <v>4534819.5419999994</v>
      </c>
      <c r="T22" s="916">
        <f>T21*12</f>
        <v>365809.57800000004</v>
      </c>
      <c r="U22" s="917"/>
      <c r="V22" s="918"/>
      <c r="W22" s="903"/>
      <c r="X22" s="903"/>
      <c r="Y22" s="903"/>
      <c r="Z22" s="903"/>
      <c r="AA22" s="903"/>
      <c r="AB22" s="903"/>
      <c r="AC22" s="903"/>
    </row>
    <row r="23" spans="1:30" ht="15.6" customHeight="1">
      <c r="A23" s="1233" t="s">
        <v>1400</v>
      </c>
      <c r="B23" s="1234"/>
      <c r="C23" s="1235"/>
      <c r="D23" s="1002"/>
      <c r="E23" s="1003"/>
      <c r="F23" s="1004"/>
      <c r="G23" s="941"/>
      <c r="H23" s="944">
        <f>H22/D22-1</f>
        <v>-4.1000853835934103E-3</v>
      </c>
      <c r="I23" s="945">
        <f>I22/E22-1</f>
        <v>-2.5778697709699649E-4</v>
      </c>
      <c r="J23" s="946">
        <f>J22/F22-1</f>
        <v>-1.8382288235466615E-2</v>
      </c>
      <c r="K23" s="919">
        <f>K22/E22-1</f>
        <v>7.5146534720996749E-2</v>
      </c>
      <c r="L23" s="920">
        <f>L22/F22-1</f>
        <v>-0.2986676030301828</v>
      </c>
      <c r="M23" s="917"/>
      <c r="N23" s="918"/>
      <c r="O23" s="919">
        <f>O22/E22-1</f>
        <v>0.10629402068522342</v>
      </c>
      <c r="P23" s="920">
        <f>P22/F22-1</f>
        <v>-0.4144458861835193</v>
      </c>
      <c r="Q23" s="917"/>
      <c r="R23" s="918"/>
      <c r="S23" s="919">
        <f>S22/$E22-1</f>
        <v>0.16948521549908135</v>
      </c>
      <c r="T23" s="920">
        <f>T22/$F22-1</f>
        <v>-0.64933380151509135</v>
      </c>
      <c r="U23" s="917"/>
      <c r="V23" s="918"/>
      <c r="W23" s="904"/>
      <c r="X23" s="903"/>
      <c r="Y23" s="903"/>
      <c r="Z23" s="903"/>
      <c r="AA23" s="903"/>
      <c r="AB23" s="903"/>
      <c r="AC23" s="903"/>
    </row>
    <row r="24" spans="1:30" ht="15.6" customHeight="1">
      <c r="A24" s="1233" t="s">
        <v>1401</v>
      </c>
      <c r="B24" s="1234"/>
      <c r="C24" s="1235"/>
      <c r="D24" s="914"/>
      <c r="E24" s="915"/>
      <c r="F24" s="936"/>
      <c r="G24" s="941"/>
      <c r="H24" s="907">
        <f>H22-D22</f>
        <v>-20175.719999999739</v>
      </c>
      <c r="I24" s="908">
        <f>I22-E22</f>
        <v>-999.59999999962747</v>
      </c>
      <c r="J24" s="909">
        <f>J22-F22</f>
        <v>-19176.119999999995</v>
      </c>
      <c r="K24" s="908">
        <f>K22-E22</f>
        <v>291389.72399999946</v>
      </c>
      <c r="L24" s="910">
        <f>L22-F22</f>
        <v>-311565.44400000002</v>
      </c>
      <c r="M24" s="917"/>
      <c r="N24" s="918"/>
      <c r="O24" s="908">
        <f>O22-$E22</f>
        <v>412167.84600000083</v>
      </c>
      <c r="P24" s="910">
        <f>P22-$F22</f>
        <v>-432343.56600000011</v>
      </c>
      <c r="Q24" s="917"/>
      <c r="R24" s="918"/>
      <c r="S24" s="908">
        <f>S22-$E22</f>
        <v>657199.30199999921</v>
      </c>
      <c r="T24" s="910">
        <f>T22-$F22</f>
        <v>-677375.02200000011</v>
      </c>
      <c r="U24" s="917"/>
      <c r="V24" s="918"/>
      <c r="W24" s="904"/>
      <c r="X24" s="903"/>
      <c r="Y24" s="903"/>
      <c r="Z24" s="903"/>
      <c r="AA24" s="903"/>
      <c r="AB24" s="903"/>
      <c r="AC24" s="903"/>
    </row>
    <row r="25" spans="1:30" ht="15.6" customHeight="1">
      <c r="A25" s="981" t="s">
        <v>1402</v>
      </c>
      <c r="B25" s="982"/>
      <c r="C25" s="982"/>
      <c r="D25" s="983"/>
      <c r="E25" s="983"/>
      <c r="F25" s="983"/>
      <c r="G25" s="983"/>
      <c r="H25" s="983">
        <f>H22-$H$11</f>
        <v>-260144.75999999978</v>
      </c>
      <c r="I25" s="986">
        <f>I22-$I$11</f>
        <v>-13000.079999999143</v>
      </c>
      <c r="J25" s="986">
        <f>J22-$J$11</f>
        <v>-247144.67999999982</v>
      </c>
      <c r="K25" s="987">
        <f>K22-$I$11</f>
        <v>279389.24399999995</v>
      </c>
      <c r="L25" s="986">
        <f>L22-$J$11</f>
        <v>-539534.00399999984</v>
      </c>
      <c r="M25" s="988"/>
      <c r="N25" s="988"/>
      <c r="O25" s="987">
        <f>O22-$I$11</f>
        <v>400167.36600000132</v>
      </c>
      <c r="P25" s="986">
        <f>P22-$J$11</f>
        <v>-660312.12599999993</v>
      </c>
      <c r="Q25" s="985"/>
      <c r="R25" s="985"/>
      <c r="S25" s="987">
        <f>S22-$I$11</f>
        <v>645198.82199999969</v>
      </c>
      <c r="T25" s="986">
        <f>T22-$J$11</f>
        <v>-905343.58199999994</v>
      </c>
      <c r="U25" s="985"/>
      <c r="V25" s="985"/>
      <c r="W25" s="904"/>
      <c r="X25" s="903"/>
      <c r="Y25" s="903"/>
      <c r="Z25" s="903"/>
      <c r="AA25" s="903"/>
      <c r="AB25" s="903"/>
      <c r="AC25" s="903"/>
    </row>
    <row r="27" spans="1:30">
      <c r="D27" s="875">
        <v>773</v>
      </c>
    </row>
  </sheetData>
  <mergeCells count="22">
    <mergeCell ref="Q16:R16"/>
    <mergeCell ref="U16:V16"/>
    <mergeCell ref="A23:C23"/>
    <mergeCell ref="A24:C24"/>
    <mergeCell ref="A11:C11"/>
    <mergeCell ref="A12:C12"/>
    <mergeCell ref="A13:C13"/>
    <mergeCell ref="D16:F16"/>
    <mergeCell ref="H16:J16"/>
    <mergeCell ref="M16:N16"/>
    <mergeCell ref="B4:C4"/>
    <mergeCell ref="D5:F5"/>
    <mergeCell ref="H5:J5"/>
    <mergeCell ref="M5:N5"/>
    <mergeCell ref="Q5:R5"/>
    <mergeCell ref="U5:V5"/>
    <mergeCell ref="D2:F2"/>
    <mergeCell ref="H2:J2"/>
    <mergeCell ref="K2:N2"/>
    <mergeCell ref="O2:R2"/>
    <mergeCell ref="S2:V2"/>
    <mergeCell ref="H3:J3"/>
  </mergeCells>
  <pageMargins left="0.7" right="0.7" top="0.75" bottom="0.75" header="0.3" footer="0.3"/>
  <pageSetup scale="5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79749-8E08-402E-B7DF-65751646EAC5}">
  <dimension ref="A1:AH45"/>
  <sheetViews>
    <sheetView showGridLines="0" zoomScale="85" zoomScaleNormal="85" zoomScaleSheetLayoutView="100" workbookViewId="0">
      <selection activeCell="H17" sqref="H17:H20"/>
    </sheetView>
  </sheetViews>
  <sheetFormatPr defaultColWidth="7" defaultRowHeight="15"/>
  <cols>
    <col min="1" max="1" width="7" style="875"/>
    <col min="2" max="2" width="13.109375" style="875" customWidth="1"/>
    <col min="3" max="3" width="7" style="875" customWidth="1"/>
    <col min="4" max="6" width="12.6640625" style="875" customWidth="1"/>
    <col min="7" max="7" width="7.109375" style="875" customWidth="1"/>
    <col min="8" max="10" width="12.6640625" style="875" customWidth="1"/>
    <col min="11" max="22" width="11.88671875" style="875" customWidth="1"/>
    <col min="23" max="26" width="13.21875" style="875" hidden="1" customWidth="1"/>
    <col min="27" max="27" width="8.88671875" style="874" customWidth="1"/>
    <col min="28" max="28" width="9.109375" style="874" customWidth="1"/>
    <col min="29" max="32" width="7" style="874" customWidth="1"/>
    <col min="33" max="34" width="7" style="874"/>
    <col min="35" max="16384" width="7" style="875"/>
  </cols>
  <sheetData>
    <row r="1" spans="1:34" ht="21.95" customHeight="1" thickBot="1">
      <c r="A1" s="979" t="s">
        <v>1413</v>
      </c>
    </row>
    <row r="2" spans="1:34" ht="21.95" customHeight="1" thickBot="1">
      <c r="A2" s="870"/>
      <c r="B2" s="871"/>
      <c r="C2" s="872"/>
      <c r="D2" s="1220" t="s">
        <v>1380</v>
      </c>
      <c r="E2" s="1221"/>
      <c r="F2" s="1251"/>
      <c r="G2" s="873"/>
      <c r="H2" s="1220" t="s">
        <v>1381</v>
      </c>
      <c r="I2" s="1221"/>
      <c r="J2" s="1251"/>
      <c r="K2" s="1225" t="s">
        <v>1304</v>
      </c>
      <c r="L2" s="1226"/>
      <c r="M2" s="1226"/>
      <c r="N2" s="1227"/>
      <c r="O2" s="1225" t="s">
        <v>1382</v>
      </c>
      <c r="P2" s="1226"/>
      <c r="Q2" s="1226"/>
      <c r="R2" s="1227"/>
      <c r="S2" s="1225" t="s">
        <v>1383</v>
      </c>
      <c r="T2" s="1226"/>
      <c r="U2" s="1226"/>
      <c r="V2" s="1227"/>
      <c r="W2" s="1220" t="s">
        <v>1414</v>
      </c>
      <c r="X2" s="1221"/>
      <c r="Y2" s="1221"/>
      <c r="Z2" s="1251"/>
    </row>
    <row r="3" spans="1:34" ht="36" customHeight="1" thickBot="1">
      <c r="A3" s="947"/>
      <c r="B3" s="948"/>
      <c r="C3" s="949"/>
      <c r="D3" s="950"/>
      <c r="E3" s="951"/>
      <c r="F3" s="952"/>
      <c r="G3" s="951"/>
      <c r="H3" s="1248" t="s">
        <v>1384</v>
      </c>
      <c r="I3" s="1249"/>
      <c r="J3" s="1250"/>
      <c r="K3" s="955" t="s">
        <v>1385</v>
      </c>
      <c r="L3" s="980">
        <v>0.1</v>
      </c>
      <c r="M3" s="955" t="s">
        <v>1386</v>
      </c>
      <c r="N3" s="980">
        <v>0.2</v>
      </c>
      <c r="O3" s="955" t="s">
        <v>1385</v>
      </c>
      <c r="P3" s="980">
        <v>0.1</v>
      </c>
      <c r="Q3" s="955" t="s">
        <v>1386</v>
      </c>
      <c r="R3" s="980">
        <v>0.15</v>
      </c>
      <c r="S3" s="955" t="s">
        <v>1385</v>
      </c>
      <c r="T3" s="980">
        <v>0.05</v>
      </c>
      <c r="U3" s="955" t="s">
        <v>1386</v>
      </c>
      <c r="V3" s="980">
        <v>0.1</v>
      </c>
      <c r="W3" s="950"/>
      <c r="X3" s="951"/>
      <c r="Y3" s="951"/>
      <c r="Z3" s="952"/>
    </row>
    <row r="4" spans="1:34">
      <c r="A4" s="876"/>
      <c r="B4" s="1236" t="s">
        <v>95</v>
      </c>
      <c r="C4" s="1236"/>
      <c r="D4" s="877" t="s">
        <v>1260</v>
      </c>
      <c r="E4" s="878" t="s">
        <v>1387</v>
      </c>
      <c r="F4" s="879" t="s">
        <v>1388</v>
      </c>
      <c r="G4" s="880"/>
      <c r="H4" s="877" t="s">
        <v>1260</v>
      </c>
      <c r="I4" s="878" t="s">
        <v>1387</v>
      </c>
      <c r="J4" s="879" t="s">
        <v>1388</v>
      </c>
      <c r="K4" s="953" t="s">
        <v>1387</v>
      </c>
      <c r="L4" s="954" t="s">
        <v>1388</v>
      </c>
      <c r="M4" s="956" t="s">
        <v>1390</v>
      </c>
      <c r="N4" s="957" t="s">
        <v>1391</v>
      </c>
      <c r="O4" s="953" t="s">
        <v>1387</v>
      </c>
      <c r="P4" s="954" t="s">
        <v>1388</v>
      </c>
      <c r="Q4" s="956" t="s">
        <v>1390</v>
      </c>
      <c r="R4" s="957" t="s">
        <v>1391</v>
      </c>
      <c r="S4" s="953" t="s">
        <v>1387</v>
      </c>
      <c r="T4" s="954" t="s">
        <v>1388</v>
      </c>
      <c r="U4" s="956" t="s">
        <v>1390</v>
      </c>
      <c r="V4" s="957" t="s">
        <v>1391</v>
      </c>
      <c r="W4" s="881" t="s">
        <v>1387</v>
      </c>
      <c r="X4" s="880" t="s">
        <v>1388</v>
      </c>
      <c r="Y4" s="882" t="s">
        <v>1390</v>
      </c>
      <c r="Z4" s="883" t="s">
        <v>1391</v>
      </c>
    </row>
    <row r="5" spans="1:34">
      <c r="A5" s="884" t="s">
        <v>1392</v>
      </c>
      <c r="B5" s="885"/>
      <c r="C5" s="886"/>
      <c r="D5" s="1237"/>
      <c r="E5" s="1238"/>
      <c r="F5" s="1252"/>
      <c r="G5" s="887"/>
      <c r="H5" s="1239"/>
      <c r="I5" s="1240"/>
      <c r="J5" s="1241"/>
      <c r="K5" s="888"/>
      <c r="L5" s="889"/>
      <c r="M5" s="1242" t="s">
        <v>1393</v>
      </c>
      <c r="N5" s="1243"/>
      <c r="O5" s="888"/>
      <c r="P5" s="889"/>
      <c r="Q5" s="1242" t="s">
        <v>1393</v>
      </c>
      <c r="R5" s="1243"/>
      <c r="S5" s="888"/>
      <c r="T5" s="889"/>
      <c r="U5" s="1242" t="s">
        <v>1393</v>
      </c>
      <c r="V5" s="1243"/>
      <c r="W5" s="888"/>
      <c r="X5" s="889"/>
      <c r="Y5" s="889"/>
      <c r="Z5" s="890"/>
    </row>
    <row r="6" spans="1:34">
      <c r="A6" s="891" t="s">
        <v>1394</v>
      </c>
      <c r="B6" s="892"/>
      <c r="C6" s="893">
        <v>13</v>
      </c>
      <c r="D6" s="894">
        <v>594.42999999999995</v>
      </c>
      <c r="E6" s="895">
        <f>D6-F6</f>
        <v>495.73999999999995</v>
      </c>
      <c r="F6" s="896">
        <v>98.69</v>
      </c>
      <c r="G6" s="897">
        <f>F6/D6</f>
        <v>0.16602459499015865</v>
      </c>
      <c r="H6" s="894">
        <v>620.78</v>
      </c>
      <c r="I6" s="895">
        <f>H6-J6</f>
        <v>497.05999999999995</v>
      </c>
      <c r="J6" s="896">
        <v>123.72</v>
      </c>
      <c r="K6" s="894">
        <f>$H6-L6</f>
        <v>558.702</v>
      </c>
      <c r="L6" s="898">
        <f>H6*L$3</f>
        <v>62.078000000000003</v>
      </c>
      <c r="M6" s="899">
        <f>L6-$J6</f>
        <v>-61.641999999999996</v>
      </c>
      <c r="N6" s="900">
        <f>L6/$J6-1</f>
        <v>-0.49823795667636595</v>
      </c>
      <c r="O6" s="894">
        <f>$H6-P6</f>
        <v>558.702</v>
      </c>
      <c r="P6" s="898">
        <f>H6*P$3</f>
        <v>62.078000000000003</v>
      </c>
      <c r="Q6" s="899">
        <f>P6-$J6</f>
        <v>-61.641999999999996</v>
      </c>
      <c r="R6" s="900">
        <f>P6/$J6-1</f>
        <v>-0.49823795667636595</v>
      </c>
      <c r="S6" s="894">
        <f>$H6-T6</f>
        <v>589.74099999999999</v>
      </c>
      <c r="T6" s="898">
        <f>$H6*T$3</f>
        <v>31.039000000000001</v>
      </c>
      <c r="U6" s="899">
        <f>T6-$J6</f>
        <v>-92.680999999999997</v>
      </c>
      <c r="V6" s="900">
        <f>T6/$J6-1</f>
        <v>-0.74911897833818297</v>
      </c>
      <c r="W6" s="894">
        <f>$H6-X6</f>
        <v>589.74099999999999</v>
      </c>
      <c r="X6" s="898">
        <f>($H6*5%)</f>
        <v>31.039000000000001</v>
      </c>
      <c r="Y6" s="899">
        <f>X6-$J6</f>
        <v>-92.680999999999997</v>
      </c>
      <c r="Z6" s="900">
        <f>(X6-J6)/J6</f>
        <v>-0.74911897833818297</v>
      </c>
      <c r="AA6" s="901"/>
      <c r="AB6" s="902"/>
      <c r="AG6" s="902"/>
      <c r="AH6" s="902"/>
    </row>
    <row r="7" spans="1:34">
      <c r="A7" s="891" t="s">
        <v>1395</v>
      </c>
      <c r="B7" s="892"/>
      <c r="C7" s="893">
        <v>9</v>
      </c>
      <c r="D7" s="894">
        <v>1188.3900000000001</v>
      </c>
      <c r="E7" s="895">
        <f>D7-F7</f>
        <v>991.07000000000016</v>
      </c>
      <c r="F7" s="896">
        <v>197.32</v>
      </c>
      <c r="G7" s="897">
        <f>(F7-$F$6)/(D7-$D$6)</f>
        <v>0.16605495319550134</v>
      </c>
      <c r="H7" s="894">
        <v>1241.06</v>
      </c>
      <c r="I7" s="895">
        <f>H7-J7</f>
        <v>993.69999999999993</v>
      </c>
      <c r="J7" s="896">
        <v>247.36</v>
      </c>
      <c r="K7" s="894">
        <f>$H7-L7</f>
        <v>1054.9259999999999</v>
      </c>
      <c r="L7" s="898">
        <f>((H7-$H$6)*$N$3)+$L$6</f>
        <v>186.13400000000001</v>
      </c>
      <c r="M7" s="899">
        <f>L7-$J7</f>
        <v>-61.225999999999999</v>
      </c>
      <c r="N7" s="900">
        <f>L7/$J7-1</f>
        <v>-0.247517787839586</v>
      </c>
      <c r="O7" s="894">
        <f>$H7-P7</f>
        <v>1085.94</v>
      </c>
      <c r="P7" s="898">
        <f>(($H7-$H$6)*$R$3)+$P$6</f>
        <v>155.12</v>
      </c>
      <c r="Q7" s="899">
        <f>P7-$J7</f>
        <v>-92.240000000000009</v>
      </c>
      <c r="R7" s="900">
        <f>P7/$J7-1</f>
        <v>-0.37289780077619661</v>
      </c>
      <c r="S7" s="894">
        <f>$H7-T7</f>
        <v>1147.9929999999999</v>
      </c>
      <c r="T7" s="898">
        <f>(($H7-$H$6)*$V$3)+$T$6</f>
        <v>93.067000000000007</v>
      </c>
      <c r="U7" s="899">
        <f>T7-$J7</f>
        <v>-154.29300000000001</v>
      </c>
      <c r="V7" s="900">
        <f>T7/$J7-1</f>
        <v>-0.623758893919793</v>
      </c>
      <c r="W7" s="894">
        <f>$H7-X7</f>
        <v>1085.9649999999999</v>
      </c>
      <c r="X7" s="898">
        <f>((H7-$H$6)*20%)+$X$6</f>
        <v>155.095</v>
      </c>
      <c r="Y7" s="899">
        <f>X7-$J7</f>
        <v>-92.265000000000015</v>
      </c>
      <c r="Z7" s="900">
        <f>(X7-J7)/J7</f>
        <v>-0.37299886804657184</v>
      </c>
      <c r="AA7" s="901"/>
      <c r="AB7" s="903"/>
      <c r="AG7" s="902"/>
      <c r="AH7" s="902"/>
    </row>
    <row r="8" spans="1:34">
      <c r="A8" s="891" t="s">
        <v>1396</v>
      </c>
      <c r="B8" s="892"/>
      <c r="C8" s="893">
        <v>4</v>
      </c>
      <c r="D8" s="894">
        <v>1070.93</v>
      </c>
      <c r="E8" s="895">
        <f>D8-F8</f>
        <v>893.2</v>
      </c>
      <c r="F8" s="896">
        <v>177.73</v>
      </c>
      <c r="G8" s="897">
        <f>(F8-$F$6)/(D8-$D$6)</f>
        <v>0.16587618048268621</v>
      </c>
      <c r="H8" s="894">
        <v>1118.3900000000001</v>
      </c>
      <c r="I8" s="895">
        <f>H8-J8</f>
        <v>895.58000000000015</v>
      </c>
      <c r="J8" s="896">
        <v>222.81</v>
      </c>
      <c r="K8" s="894">
        <f>$H8-L8</f>
        <v>956.79000000000008</v>
      </c>
      <c r="L8" s="898">
        <f>((H8-$H$6)*$N$3)+$L$6</f>
        <v>161.60000000000002</v>
      </c>
      <c r="M8" s="899">
        <f>L8-$J8</f>
        <v>-61.20999999999998</v>
      </c>
      <c r="N8" s="900">
        <f>L8/$J8-1</f>
        <v>-0.27471836991158372</v>
      </c>
      <c r="O8" s="894">
        <f>$H8-P8</f>
        <v>981.67050000000006</v>
      </c>
      <c r="P8" s="898">
        <f>(($H8-$H$6)*$R$3)+$P$6</f>
        <v>136.71950000000004</v>
      </c>
      <c r="Q8" s="899">
        <f>P8-$J8</f>
        <v>-86.090499999999963</v>
      </c>
      <c r="R8" s="900">
        <f>P8/$J8-1</f>
        <v>-0.38638526098469528</v>
      </c>
      <c r="S8" s="894">
        <f>$H8-T8</f>
        <v>1037.5900000000001</v>
      </c>
      <c r="T8" s="898">
        <f>(($H8-$H$6)*$V$3)+$T$6</f>
        <v>80.800000000000011</v>
      </c>
      <c r="U8" s="899">
        <f>T8-$J8</f>
        <v>-142.01</v>
      </c>
      <c r="V8" s="900">
        <f>T8/$J8-1</f>
        <v>-0.6373591849557918</v>
      </c>
      <c r="W8" s="894">
        <f>$H8-X8</f>
        <v>987.82900000000006</v>
      </c>
      <c r="X8" s="898">
        <f>((H8-$H$6)*20%)+$X$6</f>
        <v>130.56100000000004</v>
      </c>
      <c r="Y8" s="899">
        <f>X8-$J8</f>
        <v>-92.248999999999967</v>
      </c>
      <c r="Z8" s="900">
        <f>(X8-J8)/J8</f>
        <v>-0.41402540280956851</v>
      </c>
      <c r="AA8" s="904"/>
      <c r="AB8" s="902"/>
      <c r="AG8" s="902"/>
      <c r="AH8" s="902"/>
    </row>
    <row r="9" spans="1:34" ht="15.75" thickBot="1">
      <c r="A9" s="968" t="s">
        <v>1397</v>
      </c>
      <c r="B9" s="969"/>
      <c r="C9" s="970">
        <v>17</v>
      </c>
      <c r="D9" s="971">
        <v>1782.82</v>
      </c>
      <c r="E9" s="972">
        <f>D9-F9</f>
        <v>1486.84</v>
      </c>
      <c r="F9" s="977">
        <v>295.98</v>
      </c>
      <c r="G9" s="990">
        <f>(F9-$F$6)/(D9-$D$6)</f>
        <v>0.16601452385159757</v>
      </c>
      <c r="H9" s="971">
        <v>1861.83</v>
      </c>
      <c r="I9" s="972">
        <f>H9-J9</f>
        <v>1490.79</v>
      </c>
      <c r="J9" s="977">
        <v>371.04</v>
      </c>
      <c r="K9" s="971">
        <f>$H9-L9</f>
        <v>1551.5419999999999</v>
      </c>
      <c r="L9" s="975">
        <f>((H9-$H$6)*$N$3)+$L$6</f>
        <v>310.28800000000001</v>
      </c>
      <c r="M9" s="972">
        <f>L9-$J9</f>
        <v>-60.75200000000001</v>
      </c>
      <c r="N9" s="976">
        <f>L9/$J9-1</f>
        <v>-0.16373436826218202</v>
      </c>
      <c r="O9" s="971">
        <f>$H9-P9</f>
        <v>1613.5944999999999</v>
      </c>
      <c r="P9" s="975">
        <f>(($H9-$H$6)*$R$3)+$P$6</f>
        <v>248.2355</v>
      </c>
      <c r="Q9" s="972">
        <f>P9-$J9</f>
        <v>-122.80450000000002</v>
      </c>
      <c r="R9" s="976">
        <f>P9/$J9-1</f>
        <v>-0.33097374946097458</v>
      </c>
      <c r="S9" s="971">
        <f>$H9-T9</f>
        <v>1706.6859999999999</v>
      </c>
      <c r="T9" s="975">
        <f>(($H9-$H$6)*$V$3)+$T$6</f>
        <v>155.14400000000001</v>
      </c>
      <c r="U9" s="972">
        <f>T9-$J9</f>
        <v>-215.89600000000002</v>
      </c>
      <c r="V9" s="976">
        <f>T9/$J9-1</f>
        <v>-0.58186718413109095</v>
      </c>
      <c r="W9" s="894">
        <f>$H9-X9</f>
        <v>1582.5809999999999</v>
      </c>
      <c r="X9" s="898">
        <f>((H9-$H$6)*20%)+$X$6</f>
        <v>279.24900000000002</v>
      </c>
      <c r="Y9" s="899">
        <f>X9-$J9</f>
        <v>-91.790999999999997</v>
      </c>
      <c r="Z9" s="900">
        <f>(X9-J9)/J9</f>
        <v>-0.24738842173350581</v>
      </c>
      <c r="AA9" s="904"/>
      <c r="AB9" s="902"/>
      <c r="AG9" s="902"/>
      <c r="AH9" s="902"/>
    </row>
    <row r="10" spans="1:34">
      <c r="A10" s="958" t="s">
        <v>1398</v>
      </c>
      <c r="B10" s="959"/>
      <c r="C10" s="960">
        <f>SUM(C6:C9)</f>
        <v>43</v>
      </c>
      <c r="D10" s="961">
        <f>(D6*$C6)+(D7*$C7)+(D8*$C8)+(D9*$C9)</f>
        <v>53014.759999999995</v>
      </c>
      <c r="E10" s="962">
        <f>(E6*$C6)+(E7*$C7)+(E8*$C8)+(E9*$C9)</f>
        <v>44213.33</v>
      </c>
      <c r="F10" s="963">
        <f>(F6*$C6)+(F7*$C7)+(F8*$C8)+(F9*$C9)</f>
        <v>8801.43</v>
      </c>
      <c r="G10" s="991"/>
      <c r="H10" s="961" cm="1">
        <f t="array" ref="H10">SUMPRODUCT($C$6:$C$9*H6:H9)</f>
        <v>55364.350000000006</v>
      </c>
      <c r="I10" s="962" cm="1">
        <f t="array" ref="I10">SUMPRODUCT($C$6:$C$9*I6:I9)</f>
        <v>44330.83</v>
      </c>
      <c r="J10" s="963" cm="1">
        <f t="array" ref="J10">SUMPRODUCT($C$6:$C$9*J6:J9)</f>
        <v>11033.52</v>
      </c>
      <c r="K10" s="961" cm="1">
        <f t="array" ref="K10">SUMPRODUCT(K6:K9*C6:C9)</f>
        <v>46960.834000000003</v>
      </c>
      <c r="L10" s="965">
        <f>(L6*$C6)+(L7*$C7)+(L8*$C8)+(L9*$C9)</f>
        <v>8403.5160000000014</v>
      </c>
      <c r="M10" s="966"/>
      <c r="N10" s="967"/>
      <c r="O10" s="961" cm="1">
        <f t="array" ref="O10">SUMPRODUCT(O6:O9*$C6:$C9)</f>
        <v>48394.374500000005</v>
      </c>
      <c r="P10" s="965" cm="1">
        <f t="array" ref="P10">SUMPRODUCT(P6:P9*$C6:$C9)</f>
        <v>6969.9755000000005</v>
      </c>
      <c r="Q10" s="966"/>
      <c r="R10" s="967"/>
      <c r="S10" s="961" cm="1">
        <f t="array" ref="S10">SUMPRODUCT(S6:S9*$C6:$C9)</f>
        <v>51162.592000000004</v>
      </c>
      <c r="T10" s="965" cm="1">
        <f t="array" ref="T10">SUMPRODUCT(T6:T9*$C6:$C9)</f>
        <v>4201.7580000000007</v>
      </c>
      <c r="U10" s="966"/>
      <c r="V10" s="967"/>
      <c r="W10" s="907">
        <f>(W6*$C6)+(W7*$C7)+(W8*$C8)+(W9*$C9)</f>
        <v>48295.510999999999</v>
      </c>
      <c r="X10" s="910">
        <f>(X6*$C6)+(X7*$C7)+(X8*$C8)+(X9*$C9)</f>
        <v>7068.8389999999999</v>
      </c>
      <c r="Y10" s="911"/>
      <c r="Z10" s="900"/>
      <c r="AA10" s="904"/>
      <c r="AB10" s="903"/>
      <c r="AC10" s="903"/>
      <c r="AD10" s="903"/>
      <c r="AE10" s="903"/>
      <c r="AF10" s="903"/>
      <c r="AG10" s="903"/>
    </row>
    <row r="11" spans="1:34">
      <c r="A11" s="1233" t="s">
        <v>1399</v>
      </c>
      <c r="B11" s="1234"/>
      <c r="C11" s="1235"/>
      <c r="D11" s="914">
        <f t="shared" ref="D11:J11" si="0">D10*12</f>
        <v>636177.11999999988</v>
      </c>
      <c r="E11" s="915">
        <f t="shared" si="0"/>
        <v>530559.96</v>
      </c>
      <c r="F11" s="936">
        <f t="shared" si="0"/>
        <v>105617.16</v>
      </c>
      <c r="G11" s="992"/>
      <c r="H11" s="914">
        <f t="shared" si="0"/>
        <v>664372.20000000007</v>
      </c>
      <c r="I11" s="915">
        <f t="shared" si="0"/>
        <v>531969.96</v>
      </c>
      <c r="J11" s="936">
        <f t="shared" si="0"/>
        <v>132402.23999999999</v>
      </c>
      <c r="K11" s="914">
        <f>K10*12</f>
        <v>563530.00800000003</v>
      </c>
      <c r="L11" s="916">
        <f>L10*12</f>
        <v>100842.19200000001</v>
      </c>
      <c r="M11" s="917"/>
      <c r="N11" s="918"/>
      <c r="O11" s="914">
        <f>O10*12</f>
        <v>580732.49400000006</v>
      </c>
      <c r="P11" s="916">
        <f>P10*12</f>
        <v>83639.706000000006</v>
      </c>
      <c r="Q11" s="917"/>
      <c r="R11" s="918"/>
      <c r="S11" s="914">
        <f>S10*12</f>
        <v>613951.10400000005</v>
      </c>
      <c r="T11" s="916">
        <f>T10*12</f>
        <v>50421.096000000005</v>
      </c>
      <c r="U11" s="917"/>
      <c r="V11" s="918"/>
      <c r="W11" s="914">
        <f>W10*12</f>
        <v>579546.13199999998</v>
      </c>
      <c r="X11" s="916">
        <f>X10*12</f>
        <v>84826.067999999999</v>
      </c>
      <c r="Y11" s="917"/>
      <c r="Z11" s="918"/>
      <c r="AA11" s="904"/>
      <c r="AB11" s="903"/>
      <c r="AC11" s="903"/>
      <c r="AD11" s="903"/>
      <c r="AE11" s="903"/>
      <c r="AF11" s="903"/>
      <c r="AG11" s="903"/>
    </row>
    <row r="12" spans="1:34">
      <c r="A12" s="1233" t="s">
        <v>1400</v>
      </c>
      <c r="B12" s="1234"/>
      <c r="C12" s="1235"/>
      <c r="D12" s="914"/>
      <c r="E12" s="915"/>
      <c r="F12" s="936"/>
      <c r="G12" s="992"/>
      <c r="H12" s="944">
        <f>H11/D11-1</f>
        <v>4.4319544217497508E-2</v>
      </c>
      <c r="I12" s="945">
        <f>I11/E11-1</f>
        <v>2.6575695610351335E-3</v>
      </c>
      <c r="J12" s="946">
        <f>J11/F11-1</f>
        <v>0.25360538003483502</v>
      </c>
      <c r="K12" s="919">
        <f>K11/E11-1</f>
        <v>6.2141982972103715E-2</v>
      </c>
      <c r="L12" s="920">
        <f>L11/F11-1</f>
        <v>-4.5210153350080495E-2</v>
      </c>
      <c r="M12" s="917"/>
      <c r="N12" s="918"/>
      <c r="O12" s="919">
        <f>O11/$E11-1</f>
        <v>9.4565247630070237E-2</v>
      </c>
      <c r="P12" s="920">
        <f>P11/$F11-1</f>
        <v>-0.20808601556792472</v>
      </c>
      <c r="Q12" s="917"/>
      <c r="R12" s="918"/>
      <c r="S12" s="919">
        <f>S11/$E11-1</f>
        <v>0.15717572053496109</v>
      </c>
      <c r="T12" s="920">
        <f>T11/$F11-1</f>
        <v>-0.5226050766750403</v>
      </c>
      <c r="U12" s="917"/>
      <c r="V12" s="918"/>
      <c r="W12" s="919">
        <f>(W11-$I$11)/$I$11</f>
        <v>8.9433944728758791E-2</v>
      </c>
      <c r="X12" s="920">
        <f>(X11-$J$11)/$J$11</f>
        <v>-0.35933056721698964</v>
      </c>
      <c r="Y12" s="917"/>
      <c r="Z12" s="918"/>
      <c r="AA12" s="904"/>
      <c r="AB12" s="903"/>
      <c r="AC12" s="903"/>
      <c r="AD12" s="903"/>
      <c r="AE12" s="903"/>
      <c r="AF12" s="903"/>
      <c r="AG12" s="903"/>
    </row>
    <row r="13" spans="1:34" ht="15.75" thickBot="1">
      <c r="A13" s="1233" t="s">
        <v>1401</v>
      </c>
      <c r="B13" s="1234"/>
      <c r="C13" s="1235"/>
      <c r="D13" s="914"/>
      <c r="E13" s="915"/>
      <c r="F13" s="936"/>
      <c r="G13" s="992"/>
      <c r="H13" s="907">
        <f>H11-D11</f>
        <v>28195.080000000191</v>
      </c>
      <c r="I13" s="908">
        <f>I11-E11</f>
        <v>1410</v>
      </c>
      <c r="J13" s="909">
        <f>J11-F11</f>
        <v>26785.079999999987</v>
      </c>
      <c r="K13" s="908">
        <f>K11-E11</f>
        <v>32970.048000000068</v>
      </c>
      <c r="L13" s="910">
        <f>L11-F11</f>
        <v>-4774.9679999999935</v>
      </c>
      <c r="M13" s="917"/>
      <c r="N13" s="918"/>
      <c r="O13" s="908">
        <f>O11-$E11</f>
        <v>50172.534000000102</v>
      </c>
      <c r="P13" s="910">
        <f>P11-$F11</f>
        <v>-21977.453999999998</v>
      </c>
      <c r="Q13" s="917"/>
      <c r="R13" s="918"/>
      <c r="S13" s="908">
        <f>S11-$E11</f>
        <v>83391.144000000088</v>
      </c>
      <c r="T13" s="910">
        <f>T11-$F11</f>
        <v>-55196.063999999998</v>
      </c>
      <c r="U13" s="917"/>
      <c r="V13" s="918"/>
      <c r="W13" s="921">
        <f>W11-$I$11</f>
        <v>47576.17200000002</v>
      </c>
      <c r="X13" s="922">
        <f>X11-$J$11</f>
        <v>-47576.171999999991</v>
      </c>
      <c r="Y13" s="923"/>
      <c r="Z13" s="924"/>
      <c r="AA13" s="904"/>
      <c r="AB13" s="903"/>
      <c r="AC13" s="903"/>
      <c r="AD13" s="903"/>
      <c r="AE13" s="903"/>
      <c r="AF13" s="903"/>
      <c r="AG13" s="903"/>
    </row>
    <row r="14" spans="1:34">
      <c r="A14" s="981" t="s">
        <v>1402</v>
      </c>
      <c r="B14" s="982"/>
      <c r="C14" s="982"/>
      <c r="D14" s="983"/>
      <c r="E14" s="983"/>
      <c r="F14" s="983"/>
      <c r="G14" s="983"/>
      <c r="H14" s="983"/>
      <c r="I14" s="983"/>
      <c r="J14" s="983"/>
      <c r="K14" s="984">
        <f>K11-$I$11</f>
        <v>31560.048000000068</v>
      </c>
      <c r="L14" s="983">
        <f>L11-$J$11</f>
        <v>-31560.047999999981</v>
      </c>
      <c r="M14" s="985"/>
      <c r="N14" s="985"/>
      <c r="O14" s="984">
        <f>O11-$I$11</f>
        <v>48762.534000000102</v>
      </c>
      <c r="P14" s="983">
        <f>P11-$J$11</f>
        <v>-48762.533999999985</v>
      </c>
      <c r="Q14" s="985"/>
      <c r="R14" s="985"/>
      <c r="S14" s="984">
        <f>S11-$I$11</f>
        <v>81981.144000000088</v>
      </c>
      <c r="T14" s="983">
        <f>T11-$J$11</f>
        <v>-81981.143999999986</v>
      </c>
      <c r="U14" s="985"/>
      <c r="V14" s="985"/>
    </row>
    <row r="15" spans="1:34" ht="20.25">
      <c r="A15" s="925"/>
    </row>
    <row r="16" spans="1:34" ht="15.6" customHeight="1">
      <c r="A16" s="1067" t="s">
        <v>1415</v>
      </c>
      <c r="B16" s="1066"/>
      <c r="C16" s="929"/>
      <c r="D16" s="1228"/>
      <c r="E16" s="1229"/>
      <c r="F16" s="1229"/>
      <c r="G16" s="942"/>
      <c r="H16" s="1230"/>
      <c r="I16" s="1231"/>
      <c r="J16" s="1232"/>
      <c r="K16" s="930"/>
      <c r="L16" s="931"/>
      <c r="M16" s="1244" t="s">
        <v>1393</v>
      </c>
      <c r="N16" s="1245"/>
      <c r="O16" s="930"/>
      <c r="P16" s="931"/>
      <c r="Q16" s="1244" t="s">
        <v>1393</v>
      </c>
      <c r="R16" s="1245"/>
      <c r="S16" s="930"/>
      <c r="T16" s="931"/>
      <c r="U16" s="1244" t="s">
        <v>1393</v>
      </c>
      <c r="V16" s="1245"/>
      <c r="W16" s="904"/>
      <c r="X16" s="874"/>
      <c r="Y16" s="874"/>
      <c r="Z16" s="874"/>
      <c r="AE16" s="875"/>
      <c r="AF16" s="875"/>
      <c r="AG16" s="875"/>
      <c r="AH16" s="875"/>
    </row>
    <row r="17" spans="1:34" ht="15.6" customHeight="1">
      <c r="A17" s="891" t="s">
        <v>1394</v>
      </c>
      <c r="B17" s="892"/>
      <c r="C17" s="893">
        <f>C6</f>
        <v>13</v>
      </c>
      <c r="D17" s="993">
        <f>D6</f>
        <v>594.42999999999995</v>
      </c>
      <c r="E17" s="994">
        <f>E6</f>
        <v>495.73999999999995</v>
      </c>
      <c r="F17" s="995">
        <f>F6</f>
        <v>98.69</v>
      </c>
      <c r="G17" s="940">
        <f>G6</f>
        <v>0.16602459499015865</v>
      </c>
      <c r="H17" s="894">
        <f>'Kais HDHP vs Reg HDHP'!G37</f>
        <v>614.48</v>
      </c>
      <c r="I17" s="895">
        <f>H17-J17</f>
        <v>502.40000000000003</v>
      </c>
      <c r="J17" s="1085">
        <v>112.08</v>
      </c>
      <c r="K17" s="894">
        <f>$H17-L17</f>
        <v>553.03200000000004</v>
      </c>
      <c r="L17" s="898">
        <f>H17*$L$3</f>
        <v>61.448000000000008</v>
      </c>
      <c r="M17" s="899">
        <f>L17-$J$6</f>
        <v>-62.271999999999991</v>
      </c>
      <c r="N17" s="900">
        <f>L17/$J6-1</f>
        <v>-0.50333010022631741</v>
      </c>
      <c r="O17" s="894">
        <f>$H17-P17</f>
        <v>553.03200000000004</v>
      </c>
      <c r="P17" s="898">
        <f>$H$17*$P$3</f>
        <v>61.448000000000008</v>
      </c>
      <c r="Q17" s="899">
        <f>P17-$J$6</f>
        <v>-62.271999999999991</v>
      </c>
      <c r="R17" s="900">
        <f>P17/$J$6-1</f>
        <v>-0.50333010022631741</v>
      </c>
      <c r="S17" s="894">
        <f>$H17-T17</f>
        <v>583.75599999999997</v>
      </c>
      <c r="T17" s="898">
        <f>H17*$T$3</f>
        <v>30.724000000000004</v>
      </c>
      <c r="U17" s="899">
        <f>T17-$J$6</f>
        <v>-92.995999999999995</v>
      </c>
      <c r="V17" s="900">
        <f>T17/$J6-1</f>
        <v>-0.75166505011315876</v>
      </c>
      <c r="W17" s="901"/>
      <c r="X17" s="932"/>
      <c r="Y17" s="874"/>
      <c r="Z17" s="874"/>
      <c r="AA17" s="902"/>
      <c r="AD17" s="902"/>
      <c r="AE17" s="875"/>
      <c r="AF17" s="875"/>
      <c r="AG17" s="875"/>
      <c r="AH17" s="875"/>
    </row>
    <row r="18" spans="1:34" ht="15.6" customHeight="1">
      <c r="A18" s="891" t="s">
        <v>1395</v>
      </c>
      <c r="B18" s="892"/>
      <c r="C18" s="893">
        <f>C7</f>
        <v>9</v>
      </c>
      <c r="D18" s="993">
        <f t="shared" ref="D18:G22" si="1">D7</f>
        <v>1188.3900000000001</v>
      </c>
      <c r="E18" s="994">
        <f t="shared" si="1"/>
        <v>991.07000000000016</v>
      </c>
      <c r="F18" s="995">
        <f t="shared" si="1"/>
        <v>197.32</v>
      </c>
      <c r="G18" s="940">
        <f t="shared" si="1"/>
        <v>0.16605495319550134</v>
      </c>
      <c r="H18" s="894">
        <f>'Kais HDHP vs Reg HDHP'!G38</f>
        <v>1228.47</v>
      </c>
      <c r="I18" s="895">
        <f>H18-J18</f>
        <v>1004.37</v>
      </c>
      <c r="J18" s="1085">
        <v>224.1</v>
      </c>
      <c r="K18" s="894">
        <f>$H18-L18</f>
        <v>1044.2239999999999</v>
      </c>
      <c r="L18" s="898">
        <f>(($H$18-$H$17)*$N$3)+$L17</f>
        <v>184.24600000000001</v>
      </c>
      <c r="M18" s="899">
        <f>L18-$J$7</f>
        <v>-63.114000000000004</v>
      </c>
      <c r="N18" s="900">
        <f>L18/$J7-1</f>
        <v>-0.25515038809831825</v>
      </c>
      <c r="O18" s="894">
        <f>$H18-P18</f>
        <v>1074.9235000000001</v>
      </c>
      <c r="P18" s="898">
        <f>(($H$18-$H$17)*$R$3)+$P17</f>
        <v>153.54650000000001</v>
      </c>
      <c r="Q18" s="899">
        <f>P18-$J$7</f>
        <v>-93.813500000000005</v>
      </c>
      <c r="R18" s="900">
        <f>P18/$J$7-1</f>
        <v>-0.37925897477360926</v>
      </c>
      <c r="S18" s="894">
        <f>$H18-T18</f>
        <v>1136.347</v>
      </c>
      <c r="T18" s="898">
        <f>((H18-H17)*$V$3)+$T17</f>
        <v>92.123000000000005</v>
      </c>
      <c r="U18" s="899">
        <f>T18-$J$7</f>
        <v>-155.23700000000002</v>
      </c>
      <c r="V18" s="900">
        <f>T18/$J7-1</f>
        <v>-0.62757519404915918</v>
      </c>
      <c r="W18" s="901"/>
      <c r="X18" s="932"/>
      <c r="Y18" s="874"/>
      <c r="Z18" s="874"/>
      <c r="AD18" s="902"/>
      <c r="AE18" s="875"/>
      <c r="AF18" s="875"/>
      <c r="AG18" s="875"/>
      <c r="AH18" s="875"/>
    </row>
    <row r="19" spans="1:34" ht="15.6" customHeight="1">
      <c r="A19" s="891" t="s">
        <v>1396</v>
      </c>
      <c r="B19" s="892"/>
      <c r="C19" s="893">
        <f>C8</f>
        <v>4</v>
      </c>
      <c r="D19" s="993">
        <f t="shared" si="1"/>
        <v>1070.93</v>
      </c>
      <c r="E19" s="994">
        <f t="shared" si="1"/>
        <v>893.2</v>
      </c>
      <c r="F19" s="995">
        <f t="shared" si="1"/>
        <v>177.73</v>
      </c>
      <c r="G19" s="940">
        <f t="shared" si="1"/>
        <v>0.16587618048268621</v>
      </c>
      <c r="H19" s="894">
        <f>'Kais HDHP vs Reg HDHP'!G39</f>
        <v>1107.05</v>
      </c>
      <c r="I19" s="895">
        <f>H19-J19</f>
        <v>905.18999999999994</v>
      </c>
      <c r="J19" s="1085">
        <v>201.86</v>
      </c>
      <c r="K19" s="894">
        <f>$H19-L19</f>
        <v>947.08799999999997</v>
      </c>
      <c r="L19" s="898">
        <f>(($H$19-$H$17)*$N$3)+$L17</f>
        <v>159.96199999999999</v>
      </c>
      <c r="M19" s="899">
        <f>L19-$J$8</f>
        <v>-62.848000000000013</v>
      </c>
      <c r="N19" s="900">
        <f>L19/$J8-1</f>
        <v>-0.28206992504824746</v>
      </c>
      <c r="O19" s="894">
        <f>$H19-P19</f>
        <v>971.7165</v>
      </c>
      <c r="P19" s="898">
        <f>(($H$19-$H$17)*$R$3)+$P17</f>
        <v>135.33350000000002</v>
      </c>
      <c r="Q19" s="899">
        <f>P19-$J$8</f>
        <v>-87.476499999999987</v>
      </c>
      <c r="R19" s="900">
        <f>P19/$J$8-1</f>
        <v>-0.39260580763879538</v>
      </c>
      <c r="S19" s="894">
        <f>$H19-T19</f>
        <v>1027.069</v>
      </c>
      <c r="T19" s="898">
        <f>((H19-H17)*$V$3)+$T17</f>
        <v>79.980999999999995</v>
      </c>
      <c r="U19" s="899">
        <f>T19-$J$8</f>
        <v>-142.82900000000001</v>
      </c>
      <c r="V19" s="900">
        <f>T19/$J8-1</f>
        <v>-0.64103496252412373</v>
      </c>
      <c r="W19" s="904"/>
      <c r="X19" s="902"/>
      <c r="Y19" s="874"/>
      <c r="Z19" s="874"/>
      <c r="AD19" s="902"/>
      <c r="AE19" s="875"/>
      <c r="AF19" s="875"/>
      <c r="AG19" s="875"/>
      <c r="AH19" s="875"/>
    </row>
    <row r="20" spans="1:34" ht="15.6" customHeight="1" thickBot="1">
      <c r="A20" s="891" t="s">
        <v>1397</v>
      </c>
      <c r="B20" s="892"/>
      <c r="C20" s="893">
        <f>C9</f>
        <v>17</v>
      </c>
      <c r="D20" s="996">
        <f t="shared" si="1"/>
        <v>1782.82</v>
      </c>
      <c r="E20" s="997">
        <f t="shared" si="1"/>
        <v>1486.84</v>
      </c>
      <c r="F20" s="998">
        <f t="shared" si="1"/>
        <v>295.98</v>
      </c>
      <c r="G20" s="974">
        <f t="shared" si="1"/>
        <v>0.16601452385159757</v>
      </c>
      <c r="H20" s="894">
        <f>'Kais HDHP vs Reg HDHP'!G40</f>
        <v>1842.95</v>
      </c>
      <c r="I20" s="972">
        <f>H20-J20</f>
        <v>1506.8000000000002</v>
      </c>
      <c r="J20" s="1086">
        <v>336.15</v>
      </c>
      <c r="K20" s="971">
        <f>$H20-L20</f>
        <v>1535.808</v>
      </c>
      <c r="L20" s="975">
        <f>(($H$20-$H$17)*$N$3)+$L17</f>
        <v>307.14200000000005</v>
      </c>
      <c r="M20" s="972">
        <f>L20-$J$9</f>
        <v>-63.897999999999968</v>
      </c>
      <c r="N20" s="976">
        <f>L20/$J9-1</f>
        <v>-0.17221323846485548</v>
      </c>
      <c r="O20" s="971">
        <f>$H20-P20</f>
        <v>1597.2315000000001</v>
      </c>
      <c r="P20" s="975">
        <f>(($H$20-$H$17)*$R$3)+$P17</f>
        <v>245.71850000000001</v>
      </c>
      <c r="Q20" s="972">
        <f>P20-$J$9</f>
        <v>-125.32150000000001</v>
      </c>
      <c r="R20" s="976">
        <f>P20/$J$9-1</f>
        <v>-0.33775738464855543</v>
      </c>
      <c r="S20" s="971">
        <f>$H20-T20</f>
        <v>1689.3789999999999</v>
      </c>
      <c r="T20" s="975">
        <f>((H20-H17)*$V$3)+$T17</f>
        <v>153.57100000000003</v>
      </c>
      <c r="U20" s="972">
        <f>T20-$J$9</f>
        <v>-217.46899999999999</v>
      </c>
      <c r="V20" s="976">
        <f>T20/$J9-1</f>
        <v>-0.58610661923242779</v>
      </c>
      <c r="W20" s="904"/>
      <c r="X20" s="902"/>
      <c r="Y20" s="874"/>
      <c r="Z20" s="874"/>
      <c r="AC20" s="902"/>
      <c r="AD20" s="902"/>
      <c r="AE20" s="875"/>
      <c r="AF20" s="875"/>
      <c r="AG20" s="875"/>
      <c r="AH20" s="875"/>
    </row>
    <row r="21" spans="1:34" ht="15.6" customHeight="1">
      <c r="A21" s="905" t="s">
        <v>1398</v>
      </c>
      <c r="B21" s="892"/>
      <c r="C21" s="906">
        <f>SUM(C17:C20)</f>
        <v>43</v>
      </c>
      <c r="D21" s="999">
        <f t="shared" si="1"/>
        <v>53014.759999999995</v>
      </c>
      <c r="E21" s="1000">
        <f t="shared" si="1"/>
        <v>44213.33</v>
      </c>
      <c r="F21" s="1001">
        <f t="shared" si="1"/>
        <v>8801.43</v>
      </c>
      <c r="G21" s="964"/>
      <c r="H21" s="961" cm="1">
        <f t="array" ref="H21">SUMPRODUCT($C$6:$C$9*H17:H20)</f>
        <v>54802.820000000007</v>
      </c>
      <c r="I21" s="962" cm="1">
        <f t="array" ref="I21">SUMPRODUCT($C$6:$C$9*I17:I20)</f>
        <v>44806.89</v>
      </c>
      <c r="J21" s="963" cm="1">
        <f t="array" ref="J21">SUMPRODUCT($C$6:$C$9*J17:J20)</f>
        <v>9995.9299999999985</v>
      </c>
      <c r="K21" s="961" cm="1">
        <f t="array" ref="K21">SUMPRODUCT(K17:K20*C17:C20)</f>
        <v>46484.520000000004</v>
      </c>
      <c r="L21" s="965" cm="1">
        <f t="array" ref="L21">SUMPRODUCT(L17:L20*C17:C20)</f>
        <v>8318.3000000000011</v>
      </c>
      <c r="M21" s="966"/>
      <c r="N21" s="967"/>
      <c r="O21" s="961" cm="1">
        <f t="array" ref="O21">SUMPRODUCT(O17:O20*$C17:$C20)</f>
        <v>47903.52900000001</v>
      </c>
      <c r="P21" s="965" cm="1">
        <f t="array" ref="P21">SUMPRODUCT(P17:P20*$C17:$C20)</f>
        <v>6899.2910000000002</v>
      </c>
      <c r="Q21" s="966"/>
      <c r="R21" s="967"/>
      <c r="S21" s="961" cm="1">
        <f t="array" ref="S21">SUMPRODUCT(S17:S20*$C17:$C20)</f>
        <v>50643.67</v>
      </c>
      <c r="T21" s="965" cm="1">
        <f t="array" ref="T21">SUMPRODUCT(T17:T20*$C17:$C20)</f>
        <v>4159.1500000000005</v>
      </c>
      <c r="U21" s="966"/>
      <c r="V21" s="967"/>
      <c r="W21" s="904"/>
      <c r="X21" s="903"/>
      <c r="Y21" s="903"/>
      <c r="Z21" s="903"/>
      <c r="AA21" s="903"/>
      <c r="AC21" s="903"/>
      <c r="AE21" s="875"/>
      <c r="AF21" s="875"/>
      <c r="AG21" s="875"/>
      <c r="AH21" s="875"/>
    </row>
    <row r="22" spans="1:34" ht="15.6" customHeight="1">
      <c r="A22" s="905" t="s">
        <v>1399</v>
      </c>
      <c r="B22" s="933"/>
      <c r="C22" s="934"/>
      <c r="D22" s="1002">
        <f t="shared" si="1"/>
        <v>636177.11999999988</v>
      </c>
      <c r="E22" s="1003">
        <f t="shared" si="1"/>
        <v>530559.96</v>
      </c>
      <c r="F22" s="1004">
        <f t="shared" si="1"/>
        <v>105617.16</v>
      </c>
      <c r="G22" s="941"/>
      <c r="H22" s="914">
        <f>H21*12</f>
        <v>657633.84000000008</v>
      </c>
      <c r="I22" s="915">
        <f>I21*12</f>
        <v>537682.67999999993</v>
      </c>
      <c r="J22" s="936">
        <f>J21*12</f>
        <v>119951.15999999997</v>
      </c>
      <c r="K22" s="914">
        <f>K21*12</f>
        <v>557814.24</v>
      </c>
      <c r="L22" s="916">
        <f>L21*12</f>
        <v>99819.6</v>
      </c>
      <c r="M22" s="917"/>
      <c r="N22" s="918"/>
      <c r="O22" s="914">
        <f>O21*12</f>
        <v>574842.34800000011</v>
      </c>
      <c r="P22" s="916">
        <f>P21*12</f>
        <v>82791.491999999998</v>
      </c>
      <c r="Q22" s="917"/>
      <c r="R22" s="918"/>
      <c r="S22" s="914">
        <f>S21*12</f>
        <v>607724.04</v>
      </c>
      <c r="T22" s="916">
        <f>T21*12</f>
        <v>49909.8</v>
      </c>
      <c r="U22" s="917"/>
      <c r="V22" s="918"/>
      <c r="W22" s="903"/>
      <c r="X22" s="903"/>
      <c r="Y22" s="903"/>
      <c r="Z22" s="903"/>
      <c r="AA22" s="903"/>
      <c r="AB22" s="903"/>
      <c r="AC22" s="903"/>
      <c r="AE22" s="875"/>
      <c r="AF22" s="875"/>
      <c r="AG22" s="875"/>
      <c r="AH22" s="875"/>
    </row>
    <row r="23" spans="1:34" ht="15.6" customHeight="1">
      <c r="A23" s="1233" t="s">
        <v>1400</v>
      </c>
      <c r="B23" s="1234"/>
      <c r="C23" s="1235"/>
      <c r="D23" s="1002"/>
      <c r="E23" s="1003"/>
      <c r="F23" s="1004"/>
      <c r="G23" s="941"/>
      <c r="H23" s="944">
        <f>H22/D22-1</f>
        <v>3.3727588316914359E-2</v>
      </c>
      <c r="I23" s="945">
        <f>I22/E22-1</f>
        <v>1.3424910541685042E-2</v>
      </c>
      <c r="J23" s="946">
        <f>J22/F22-1</f>
        <v>0.13571658241899298</v>
      </c>
      <c r="K23" s="919">
        <f>K22/E22-1</f>
        <v>5.1368897117679335E-2</v>
      </c>
      <c r="L23" s="920">
        <f>L22/F22-1</f>
        <v>-5.4892216378474856E-2</v>
      </c>
      <c r="M23" s="917"/>
      <c r="N23" s="918"/>
      <c r="O23" s="919">
        <f>O22/E22-1</f>
        <v>8.3463493928188859E-2</v>
      </c>
      <c r="P23" s="920">
        <f>P22/F22-1</f>
        <v>-0.21611704007189747</v>
      </c>
      <c r="Q23" s="917"/>
      <c r="R23" s="918"/>
      <c r="S23" s="919">
        <f>S22/$E22-1</f>
        <v>0.14543894341367203</v>
      </c>
      <c r="T23" s="920">
        <f>T22/$F22-1</f>
        <v>-0.52744610818923743</v>
      </c>
      <c r="U23" s="917"/>
      <c r="V23" s="918"/>
      <c r="W23" s="904"/>
      <c r="X23" s="903"/>
      <c r="Y23" s="903"/>
      <c r="Z23" s="903"/>
      <c r="AA23" s="903"/>
      <c r="AB23" s="903"/>
      <c r="AC23" s="903"/>
      <c r="AE23" s="875"/>
      <c r="AF23" s="875"/>
      <c r="AG23" s="875"/>
      <c r="AH23" s="875"/>
    </row>
    <row r="24" spans="1:34" ht="15.6" customHeight="1">
      <c r="A24" s="1233" t="s">
        <v>1401</v>
      </c>
      <c r="B24" s="1234"/>
      <c r="C24" s="1235"/>
      <c r="D24" s="1002"/>
      <c r="E24" s="1003"/>
      <c r="F24" s="1004"/>
      <c r="G24" s="941"/>
      <c r="H24" s="907">
        <f>H22-D22</f>
        <v>21456.720000000205</v>
      </c>
      <c r="I24" s="908">
        <f>I22-E22</f>
        <v>7122.7199999999721</v>
      </c>
      <c r="J24" s="909">
        <f>J22-F22</f>
        <v>14333.999999999971</v>
      </c>
      <c r="K24" s="908">
        <f>K22-E22</f>
        <v>27254.280000000028</v>
      </c>
      <c r="L24" s="910">
        <f>L22-F22</f>
        <v>-5797.5599999999977</v>
      </c>
      <c r="M24" s="917"/>
      <c r="N24" s="918"/>
      <c r="O24" s="908">
        <f>O22-$E22</f>
        <v>44282.388000000152</v>
      </c>
      <c r="P24" s="910">
        <f>P22-$F22</f>
        <v>-22825.668000000005</v>
      </c>
      <c r="Q24" s="917"/>
      <c r="R24" s="918"/>
      <c r="S24" s="908">
        <f>S22-$E22</f>
        <v>77164.080000000075</v>
      </c>
      <c r="T24" s="910">
        <f>T22-$F22</f>
        <v>-55707.360000000001</v>
      </c>
      <c r="U24" s="917"/>
      <c r="V24" s="918"/>
      <c r="W24" s="904"/>
      <c r="X24" s="903"/>
      <c r="Y24" s="903"/>
      <c r="Z24" s="903"/>
      <c r="AA24" s="903"/>
      <c r="AB24" s="903"/>
      <c r="AC24" s="903"/>
      <c r="AE24" s="875"/>
      <c r="AF24" s="875"/>
      <c r="AG24" s="875"/>
      <c r="AH24" s="875"/>
    </row>
    <row r="25" spans="1:34" ht="15.6" customHeight="1">
      <c r="A25" s="981" t="s">
        <v>1402</v>
      </c>
      <c r="B25" s="982"/>
      <c r="C25" s="982"/>
      <c r="D25" s="1005"/>
      <c r="E25" s="1005"/>
      <c r="F25" s="1005"/>
      <c r="G25" s="983"/>
      <c r="H25" s="983">
        <f>H22-$H$11</f>
        <v>-6738.359999999986</v>
      </c>
      <c r="I25" s="986">
        <f>I22-$I$11</f>
        <v>5712.7199999999721</v>
      </c>
      <c r="J25" s="986">
        <f>J22-$J$11</f>
        <v>-12451.080000000016</v>
      </c>
      <c r="K25" s="987">
        <f>K22-$I$11</f>
        <v>25844.280000000028</v>
      </c>
      <c r="L25" s="986">
        <f>L22-$J$11</f>
        <v>-32582.639999999985</v>
      </c>
      <c r="M25" s="988"/>
      <c r="N25" s="988"/>
      <c r="O25" s="987">
        <f>O22-$I$11</f>
        <v>42872.388000000152</v>
      </c>
      <c r="P25" s="986">
        <f>P22-$J$11</f>
        <v>-49610.747999999992</v>
      </c>
      <c r="Q25" s="985"/>
      <c r="R25" s="985"/>
      <c r="S25" s="987">
        <f>S22-$I$11</f>
        <v>75754.080000000075</v>
      </c>
      <c r="T25" s="986">
        <f>T22-$J$11</f>
        <v>-82492.439999999988</v>
      </c>
      <c r="U25" s="985"/>
      <c r="V25" s="985"/>
      <c r="W25" s="904"/>
      <c r="X25" s="903"/>
      <c r="Y25" s="903"/>
      <c r="Z25" s="903"/>
      <c r="AA25" s="903"/>
      <c r="AB25" s="903"/>
      <c r="AC25" s="903"/>
      <c r="AE25" s="875"/>
      <c r="AF25" s="875"/>
      <c r="AG25" s="875"/>
      <c r="AH25" s="875"/>
    </row>
    <row r="26" spans="1:34" ht="20.25">
      <c r="A26" s="925"/>
    </row>
    <row r="29" spans="1:34">
      <c r="D29" s="1065" t="s">
        <v>1416</v>
      </c>
    </row>
    <row r="45" spans="7:7">
      <c r="G45" s="926"/>
    </row>
  </sheetData>
  <mergeCells count="23">
    <mergeCell ref="Q16:R16"/>
    <mergeCell ref="U16:V16"/>
    <mergeCell ref="A13:C13"/>
    <mergeCell ref="D2:F2"/>
    <mergeCell ref="A12:C12"/>
    <mergeCell ref="W2:Z2"/>
    <mergeCell ref="B4:C4"/>
    <mergeCell ref="D5:F5"/>
    <mergeCell ref="H5:J5"/>
    <mergeCell ref="A11:C11"/>
    <mergeCell ref="M5:N5"/>
    <mergeCell ref="Q5:R5"/>
    <mergeCell ref="U5:V5"/>
    <mergeCell ref="H2:J2"/>
    <mergeCell ref="K2:N2"/>
    <mergeCell ref="O2:R2"/>
    <mergeCell ref="S2:V2"/>
    <mergeCell ref="H3:J3"/>
    <mergeCell ref="A23:C23"/>
    <mergeCell ref="A24:C24"/>
    <mergeCell ref="D16:F16"/>
    <mergeCell ref="H16:J16"/>
    <mergeCell ref="M16:N16"/>
  </mergeCells>
  <pageMargins left="0.7" right="0.7" top="0.75" bottom="0.75" header="0.3" footer="0.3"/>
  <pageSetup scale="5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969C3-3E30-4DB4-9724-5AA8361A002A}">
  <dimension ref="A1:F24"/>
  <sheetViews>
    <sheetView topLeftCell="A2" workbookViewId="0">
      <selection activeCell="B20" sqref="B20"/>
    </sheetView>
  </sheetViews>
  <sheetFormatPr defaultRowHeight="15"/>
  <cols>
    <col min="1" max="1" width="22.5546875" style="1068" customWidth="1"/>
    <col min="2" max="2" width="16" style="1068" customWidth="1"/>
    <col min="3" max="3" width="17" style="1068" customWidth="1"/>
    <col min="4" max="5" width="16" style="1068" customWidth="1"/>
    <col min="6" max="6" width="11.5546875" style="1068" customWidth="1"/>
    <col min="7" max="16384" width="8.88671875" style="1068"/>
  </cols>
  <sheetData>
    <row r="1" spans="1:6" ht="51" customHeight="1">
      <c r="A1" s="1256" t="s">
        <v>1417</v>
      </c>
      <c r="B1" s="1256"/>
      <c r="C1" s="1256"/>
      <c r="D1" s="1256"/>
      <c r="E1" s="1256"/>
      <c r="F1" s="1079"/>
    </row>
    <row r="2" spans="1:6" ht="58.5" customHeight="1">
      <c r="A2" s="1257" t="s">
        <v>1418</v>
      </c>
      <c r="B2" s="1257"/>
      <c r="C2" s="1257"/>
      <c r="D2" s="1257"/>
      <c r="E2" s="1257"/>
      <c r="F2" s="1079"/>
    </row>
    <row r="3" spans="1:6" ht="54.75" customHeight="1">
      <c r="A3" s="1072" t="s">
        <v>1419</v>
      </c>
      <c r="B3" s="1073" t="s">
        <v>1420</v>
      </c>
      <c r="C3" s="1080" t="s">
        <v>1421</v>
      </c>
      <c r="D3" s="1081" t="s">
        <v>1422</v>
      </c>
      <c r="E3" s="1078" t="s">
        <v>1423</v>
      </c>
      <c r="F3" s="1069"/>
    </row>
    <row r="4" spans="1:6" ht="17.25" customHeight="1">
      <c r="A4" s="1253" t="s">
        <v>1424</v>
      </c>
      <c r="B4" s="1254"/>
      <c r="C4" s="1255"/>
      <c r="D4" s="1070"/>
      <c r="E4" s="1070"/>
      <c r="F4" s="1071"/>
    </row>
    <row r="5" spans="1:6" ht="17.25" customHeight="1">
      <c r="A5" s="1074" t="s">
        <v>1425</v>
      </c>
      <c r="B5" s="1075">
        <f>'Regence with VSP'!H17</f>
        <v>1002.65571</v>
      </c>
      <c r="C5" s="1075">
        <f>'Regence with VSP'!K17</f>
        <v>902.39013899999998</v>
      </c>
      <c r="D5" s="1076">
        <f>'Regence with VSP'!L17</f>
        <v>100.26557100000001</v>
      </c>
      <c r="E5" s="1077">
        <f>D5-'Regence with VSP'!F6</f>
        <v>-3.9544289999999904</v>
      </c>
      <c r="F5" s="1071"/>
    </row>
    <row r="6" spans="1:6" ht="17.25" customHeight="1">
      <c r="A6" s="1074" t="s">
        <v>1395</v>
      </c>
      <c r="B6" s="1075">
        <f>'Regence with VSP'!H18</f>
        <v>2106.9658559999998</v>
      </c>
      <c r="C6" s="1075">
        <f>'Regence with VSP'!K18</f>
        <v>1785.8382557999998</v>
      </c>
      <c r="D6" s="1076">
        <f>'Regence with VSP'!L18</f>
        <v>321.12760019999996</v>
      </c>
      <c r="E6" s="1082">
        <f>D6-'Regence with VSP'!F7</f>
        <v>6.1476001999999426</v>
      </c>
      <c r="F6" s="1071"/>
    </row>
    <row r="7" spans="1:6" ht="17.25" customHeight="1">
      <c r="A7" s="1074" t="s">
        <v>1396</v>
      </c>
      <c r="B7" s="1077">
        <f>'Regence with VSP'!H19</f>
        <v>1806.080046</v>
      </c>
      <c r="C7" s="1075">
        <f>'Regence with VSP'!K19</f>
        <v>1545.1296078</v>
      </c>
      <c r="D7" s="1076">
        <f>'Regence with VSP'!L19</f>
        <v>260.95043820000001</v>
      </c>
      <c r="E7" s="1082">
        <f>D7-'Regence with VSP'!F8</f>
        <v>3.3404381999999941</v>
      </c>
      <c r="F7" s="1071"/>
    </row>
    <row r="8" spans="1:6" ht="17.25" customHeight="1">
      <c r="A8" s="1074" t="s">
        <v>1426</v>
      </c>
      <c r="B8" s="1075">
        <f>'Regence with VSP'!H20</f>
        <v>2909.8136820000004</v>
      </c>
      <c r="C8" s="1075">
        <f>'Regence with VSP'!K20</f>
        <v>2428.1165166000001</v>
      </c>
      <c r="D8" s="1076">
        <f>'Regence with VSP'!L20</f>
        <v>481.69716540000013</v>
      </c>
      <c r="E8" s="1082">
        <f>D8-'Regence with VSP'!F9</f>
        <v>13.727165400000104</v>
      </c>
      <c r="F8" s="1071"/>
    </row>
    <row r="9" spans="1:6" ht="17.25" customHeight="1">
      <c r="A9" s="1253" t="s">
        <v>1427</v>
      </c>
      <c r="B9" s="1254"/>
      <c r="C9" s="1255"/>
      <c r="D9" s="1070"/>
      <c r="E9" s="1070"/>
      <c r="F9" s="1071"/>
    </row>
    <row r="10" spans="1:6" ht="17.25" customHeight="1">
      <c r="A10" s="1074" t="s">
        <v>1425</v>
      </c>
      <c r="B10" s="1075">
        <f>'Regence HSA with VSP'!H17</f>
        <v>816.32721600000002</v>
      </c>
      <c r="C10" s="1075">
        <f>'Regence HSA with VSP'!K17</f>
        <v>734.69449440000005</v>
      </c>
      <c r="D10" s="1076">
        <f>'Regence HSA with VSP'!L17</f>
        <v>81.632721600000011</v>
      </c>
      <c r="E10" s="1077">
        <f>D10-'Regence HSA with VSP'!F6</f>
        <v>-5.8372783999999882</v>
      </c>
      <c r="F10" s="1071"/>
    </row>
    <row r="11" spans="1:6" ht="17.25" customHeight="1">
      <c r="A11" s="1074" t="s">
        <v>1395</v>
      </c>
      <c r="B11" s="1075">
        <f>'Regence HSA with VSP'!H18</f>
        <v>1714.6550430000002</v>
      </c>
      <c r="C11" s="1075">
        <f>'Regence HSA with VSP'!K18</f>
        <v>1453.3567560000001</v>
      </c>
      <c r="D11" s="1076">
        <f>'Regence HSA with VSP'!L18</f>
        <v>261.29828700000007</v>
      </c>
      <c r="E11" s="1082">
        <f>D11-'Regence HSA with VSP'!F7</f>
        <v>77.578287000000074</v>
      </c>
      <c r="F11" s="1071"/>
    </row>
    <row r="12" spans="1:6" ht="17.25" customHeight="1">
      <c r="A12" s="1074" t="s">
        <v>1396</v>
      </c>
      <c r="B12" s="1075">
        <f>'Regence HSA with VSP'!H19</f>
        <v>1469.707396</v>
      </c>
      <c r="C12" s="1075">
        <f>'Regence HSA with VSP'!K19</f>
        <v>1257.3986384</v>
      </c>
      <c r="D12" s="1076">
        <f>'Regence HSA with VSP'!L19</f>
        <v>212.30875760000004</v>
      </c>
      <c r="E12" s="1082">
        <f>D12-'Regence HSA with VSP'!F8</f>
        <v>54.878757600000029</v>
      </c>
      <c r="F12" s="1071"/>
    </row>
    <row r="13" spans="1:6" ht="17.25" customHeight="1">
      <c r="A13" s="1074" t="s">
        <v>1426</v>
      </c>
      <c r="B13" s="1075">
        <f>'Regence HSA with VSP'!H20</f>
        <v>2367.9061390000002</v>
      </c>
      <c r="C13" s="1075">
        <f>'Regence HSA with VSP'!K20</f>
        <v>1975.9576328000001</v>
      </c>
      <c r="D13" s="1076">
        <f>'Regence HSA with VSP'!L20</f>
        <v>391.94850620000005</v>
      </c>
      <c r="E13" s="1082">
        <f>D13-'Regence HSA with VSP'!F9</f>
        <v>138.23850620000005</v>
      </c>
      <c r="F13" s="1071"/>
    </row>
    <row r="14" spans="1:6" ht="17.25" customHeight="1">
      <c r="A14" s="1253" t="s">
        <v>1428</v>
      </c>
      <c r="B14" s="1254"/>
      <c r="C14" s="1255"/>
      <c r="D14" s="1070"/>
      <c r="E14" s="1070"/>
      <c r="F14" s="1071"/>
    </row>
    <row r="15" spans="1:6" ht="17.25" customHeight="1">
      <c r="A15" s="1074" t="s">
        <v>1425</v>
      </c>
      <c r="B15" s="1075">
        <f>'Kaiser w Opt'!H17</f>
        <v>859.29</v>
      </c>
      <c r="C15" s="1075">
        <f>'Kaiser w Opt'!K17</f>
        <v>773.36099999999999</v>
      </c>
      <c r="D15" s="1076">
        <f>'Kaiser w Opt'!L17</f>
        <v>85.929000000000002</v>
      </c>
      <c r="E15" s="1077">
        <f>D15-'Kaiser w Opt'!F6</f>
        <v>-62.36099999999999</v>
      </c>
      <c r="F15" s="1071"/>
    </row>
    <row r="16" spans="1:6" ht="17.25" customHeight="1">
      <c r="A16" s="1074" t="s">
        <v>1395</v>
      </c>
      <c r="B16" s="1075">
        <f>'Kaiser w Opt'!H18</f>
        <v>1718.66</v>
      </c>
      <c r="C16" s="1075">
        <f>'Kaiser w Opt'!K18</f>
        <v>1460.857</v>
      </c>
      <c r="D16" s="1076">
        <f>'Kaiser w Opt'!L18</f>
        <v>257.803</v>
      </c>
      <c r="E16" s="1077">
        <f>D16-'Kaiser w Opt'!F7</f>
        <v>-109.06700000000001</v>
      </c>
      <c r="F16" s="1071"/>
    </row>
    <row r="17" spans="1:6" ht="17.25" customHeight="1">
      <c r="A17" s="1074" t="s">
        <v>1396</v>
      </c>
      <c r="B17" s="1075">
        <f>'Kaiser w Opt'!H19</f>
        <v>1546.89</v>
      </c>
      <c r="C17" s="1075">
        <f>'Kaiser w Opt'!K19</f>
        <v>1323.441</v>
      </c>
      <c r="D17" s="1076">
        <f>'Kaiser w Opt'!L19</f>
        <v>223.44900000000004</v>
      </c>
      <c r="E17" s="1077">
        <f>D17-'Kaiser w Opt'!F8</f>
        <v>-99.740999999999957</v>
      </c>
      <c r="F17" s="1071"/>
    </row>
    <row r="18" spans="1:6" ht="17.25" customHeight="1">
      <c r="A18" s="1074" t="s">
        <v>1426</v>
      </c>
      <c r="B18" s="1075">
        <f>'Kaiser w Opt'!H20</f>
        <v>2578.38</v>
      </c>
      <c r="C18" s="1075">
        <f>'Kaiser w Opt'!K20</f>
        <v>2148.6329999999998</v>
      </c>
      <c r="D18" s="1076">
        <f>'Kaiser w Opt'!L20</f>
        <v>429.74700000000007</v>
      </c>
      <c r="E18" s="1077">
        <f>D18-'Kaiser w Opt'!F9</f>
        <v>-155.72299999999996</v>
      </c>
      <c r="F18" s="1071"/>
    </row>
    <row r="19" spans="1:6" ht="17.25" customHeight="1">
      <c r="A19" s="1253" t="s">
        <v>1429</v>
      </c>
      <c r="B19" s="1254"/>
      <c r="C19" s="1255"/>
      <c r="D19" s="1070"/>
      <c r="E19" s="1070"/>
      <c r="F19" s="1071"/>
    </row>
    <row r="20" spans="1:6" ht="17.25" customHeight="1">
      <c r="A20" s="1074" t="s">
        <v>1425</v>
      </c>
      <c r="B20" s="1075">
        <f>'Kaiser HSA'!H17</f>
        <v>614.48</v>
      </c>
      <c r="C20" s="1077">
        <f>'Kaiser HSA'!K17</f>
        <v>553.03200000000004</v>
      </c>
      <c r="D20" s="1076">
        <f>'Kaiser HSA'!L17</f>
        <v>61.448000000000008</v>
      </c>
      <c r="E20" s="1077">
        <f>D20-'Kaiser HSA'!F6</f>
        <v>-37.24199999999999</v>
      </c>
      <c r="F20" s="1071"/>
    </row>
    <row r="21" spans="1:6" ht="17.25" customHeight="1">
      <c r="A21" s="1074" t="s">
        <v>1395</v>
      </c>
      <c r="B21" s="1075">
        <f>'Kaiser HSA'!H18</f>
        <v>1228.47</v>
      </c>
      <c r="C21" s="1077">
        <f>'Kaiser HSA'!K18</f>
        <v>1044.2239999999999</v>
      </c>
      <c r="D21" s="1076">
        <f>'Kaiser HSA'!L18</f>
        <v>184.24600000000001</v>
      </c>
      <c r="E21" s="1077">
        <f>D21-'Kaiser HSA'!F7</f>
        <v>-13.073999999999984</v>
      </c>
      <c r="F21" s="1071"/>
    </row>
    <row r="22" spans="1:6" ht="17.25" customHeight="1">
      <c r="A22" s="1074" t="s">
        <v>1396</v>
      </c>
      <c r="B22" s="1075">
        <f>'Kaiser HSA'!H19</f>
        <v>1107.05</v>
      </c>
      <c r="C22" s="1077">
        <f>'Kaiser HSA'!K19</f>
        <v>947.08799999999997</v>
      </c>
      <c r="D22" s="1076">
        <f>'Kaiser HSA'!L19</f>
        <v>159.96199999999999</v>
      </c>
      <c r="E22" s="1077">
        <f>D22-'Kaiser HSA'!F8</f>
        <v>-17.768000000000001</v>
      </c>
      <c r="F22" s="1071"/>
    </row>
    <row r="23" spans="1:6" ht="17.25" customHeight="1">
      <c r="A23" s="1074" t="s">
        <v>1426</v>
      </c>
      <c r="B23" s="1075">
        <f>'Kaiser HSA'!H20</f>
        <v>1842.95</v>
      </c>
      <c r="C23" s="1077">
        <f>'Kaiser HSA'!K20</f>
        <v>1535.808</v>
      </c>
      <c r="D23" s="1076">
        <f>'Kaiser HSA'!L20</f>
        <v>307.14200000000005</v>
      </c>
      <c r="E23" s="1082">
        <f>D23-'Kaiser HSA'!F9</f>
        <v>11.162000000000035</v>
      </c>
      <c r="F23" s="1071"/>
    </row>
    <row r="24" spans="1:6" ht="17.25" customHeight="1">
      <c r="A24" s="1071"/>
      <c r="B24" s="1071"/>
      <c r="C24" s="1071"/>
      <c r="D24" s="1071"/>
      <c r="E24" s="1071"/>
      <c r="F24" s="1071"/>
    </row>
  </sheetData>
  <mergeCells count="6">
    <mergeCell ref="A19:C19"/>
    <mergeCell ref="A1:E1"/>
    <mergeCell ref="A2:E2"/>
    <mergeCell ref="A4:C4"/>
    <mergeCell ref="A9:C9"/>
    <mergeCell ref="A14:C1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A0BCA-B2D3-40AD-BD4C-AA7A6E940523}">
  <dimension ref="A1:F24"/>
  <sheetViews>
    <sheetView topLeftCell="A2" workbookViewId="0">
      <selection activeCell="A2" sqref="A2:E23"/>
    </sheetView>
  </sheetViews>
  <sheetFormatPr defaultRowHeight="15"/>
  <cols>
    <col min="1" max="1" width="22.5546875" style="1068" customWidth="1"/>
    <col min="2" max="2" width="16" style="1068" customWidth="1"/>
    <col min="3" max="3" width="16.6640625" style="1068" customWidth="1"/>
    <col min="4" max="5" width="16" style="1068" customWidth="1"/>
    <col min="6" max="6" width="11.5546875" style="1068" customWidth="1"/>
    <col min="7" max="16384" width="8.88671875" style="1068"/>
  </cols>
  <sheetData>
    <row r="1" spans="1:6" ht="51" customHeight="1">
      <c r="A1" s="1256" t="s">
        <v>1417</v>
      </c>
      <c r="B1" s="1256"/>
      <c r="C1" s="1256"/>
      <c r="D1" s="1256"/>
      <c r="E1" s="1256"/>
      <c r="F1" s="1079"/>
    </row>
    <row r="2" spans="1:6" ht="90" customHeight="1">
      <c r="A2" s="1257" t="s">
        <v>1430</v>
      </c>
      <c r="B2" s="1257"/>
      <c r="C2" s="1257"/>
      <c r="D2" s="1257"/>
      <c r="E2" s="1257"/>
      <c r="F2" s="1079"/>
    </row>
    <row r="3" spans="1:6" ht="74.25" customHeight="1">
      <c r="A3" s="1072" t="s">
        <v>1419</v>
      </c>
      <c r="B3" s="1073" t="s">
        <v>1420</v>
      </c>
      <c r="C3" s="1080" t="s">
        <v>1421</v>
      </c>
      <c r="D3" s="1081" t="s">
        <v>1422</v>
      </c>
      <c r="E3" s="1078" t="s">
        <v>1423</v>
      </c>
      <c r="F3" s="1069"/>
    </row>
    <row r="4" spans="1:6" ht="17.25" customHeight="1">
      <c r="A4" s="1253" t="s">
        <v>1424</v>
      </c>
      <c r="B4" s="1254"/>
      <c r="C4" s="1255"/>
      <c r="D4" s="1070"/>
      <c r="E4" s="1070"/>
      <c r="F4" s="1071"/>
    </row>
    <row r="5" spans="1:6" ht="17.25" customHeight="1">
      <c r="A5" s="1074" t="s">
        <v>1425</v>
      </c>
      <c r="B5" s="1075">
        <f>'Regence with VSP'!H17</f>
        <v>1002.65571</v>
      </c>
      <c r="C5" s="1075">
        <f>'Regence with VSP'!K17</f>
        <v>902.39013899999998</v>
      </c>
      <c r="D5" s="1076">
        <f>'Regence with VSP'!L17</f>
        <v>100.26557100000001</v>
      </c>
      <c r="E5" s="1077">
        <f>D5-'Regence with VSP'!F6</f>
        <v>-3.9544289999999904</v>
      </c>
      <c r="F5" s="1071"/>
    </row>
    <row r="6" spans="1:6" ht="17.25" customHeight="1">
      <c r="A6" s="1074" t="s">
        <v>1395</v>
      </c>
      <c r="B6" s="1075">
        <f>'Regence with VSP'!H18</f>
        <v>2106.9658559999998</v>
      </c>
      <c r="C6" s="1075">
        <f>'Regence with VSP'!K18</f>
        <v>1785.8382557999998</v>
      </c>
      <c r="D6" s="1076">
        <f>'Regence with VSP'!L18</f>
        <v>321.12760019999996</v>
      </c>
      <c r="E6" s="1083">
        <f>D6-'Regence with VSP'!F7</f>
        <v>6.1476001999999426</v>
      </c>
      <c r="F6" s="1071"/>
    </row>
    <row r="7" spans="1:6" ht="17.25" customHeight="1">
      <c r="A7" s="1074" t="s">
        <v>1396</v>
      </c>
      <c r="B7" s="1077">
        <f>'Regence with VSP'!H19</f>
        <v>1806.080046</v>
      </c>
      <c r="C7" s="1075">
        <f>'Regence with VSP'!K19</f>
        <v>1545.1296078</v>
      </c>
      <c r="D7" s="1076">
        <f>'Regence with VSP'!L19</f>
        <v>260.95043820000001</v>
      </c>
      <c r="E7" s="1083">
        <f>D7-'Regence with VSP'!F8</f>
        <v>3.3404381999999941</v>
      </c>
      <c r="F7" s="1071"/>
    </row>
    <row r="8" spans="1:6" ht="17.25" customHeight="1">
      <c r="A8" s="1074" t="s">
        <v>1426</v>
      </c>
      <c r="B8" s="1075">
        <f>'Regence with VSP'!H20</f>
        <v>2909.8136820000004</v>
      </c>
      <c r="C8" s="1075">
        <f>'Regence with VSP'!K20</f>
        <v>2428.1165166000001</v>
      </c>
      <c r="D8" s="1076">
        <f>'Regence with VSP'!L20</f>
        <v>481.69716540000013</v>
      </c>
      <c r="E8" s="1083">
        <f>D8-'Regence with VSP'!F9</f>
        <v>13.727165400000104</v>
      </c>
      <c r="F8" s="1071"/>
    </row>
    <row r="9" spans="1:6" ht="17.25" customHeight="1">
      <c r="A9" s="1253" t="s">
        <v>1431</v>
      </c>
      <c r="B9" s="1254"/>
      <c r="C9" s="1255"/>
      <c r="D9" s="1070"/>
      <c r="E9" s="1070"/>
      <c r="F9" s="1071"/>
    </row>
    <row r="10" spans="1:6" ht="17.25" customHeight="1">
      <c r="A10" s="1074" t="s">
        <v>1425</v>
      </c>
      <c r="B10" s="1075">
        <f>'Regence HSA with VSP'!H17</f>
        <v>816.32721600000002</v>
      </c>
      <c r="C10" s="1075">
        <f>'Regence HSA with VSP'!O17</f>
        <v>734.69449440000005</v>
      </c>
      <c r="D10" s="1076">
        <f>'Regence HSA with VSP'!P17</f>
        <v>81.632721600000011</v>
      </c>
      <c r="E10" s="1077">
        <f>D10-'Regence HSA with VSP'!F6</f>
        <v>-5.8372783999999882</v>
      </c>
      <c r="F10" s="1071"/>
    </row>
    <row r="11" spans="1:6" ht="17.25" customHeight="1">
      <c r="A11" s="1074" t="s">
        <v>1395</v>
      </c>
      <c r="B11" s="1075">
        <f>'Regence HSA with VSP'!H18</f>
        <v>1714.6550430000002</v>
      </c>
      <c r="C11" s="1075">
        <f>'Regence HSA with VSP'!O18</f>
        <v>1498.2731473500003</v>
      </c>
      <c r="D11" s="1076">
        <f>'Regence HSA with VSP'!P18</f>
        <v>216.38189565000005</v>
      </c>
      <c r="E11" s="1083">
        <f>D11-'Regence HSA with VSP'!F7</f>
        <v>32.661895650000048</v>
      </c>
      <c r="F11" s="1071"/>
    </row>
    <row r="12" spans="1:6" ht="17.25" customHeight="1">
      <c r="A12" s="1074" t="s">
        <v>1396</v>
      </c>
      <c r="B12" s="1075">
        <f>'Regence HSA with VSP'!H19</f>
        <v>1469.707396</v>
      </c>
      <c r="C12" s="1075">
        <f>'Regence HSA with VSP'!O19</f>
        <v>1290.0676473999999</v>
      </c>
      <c r="D12" s="1076">
        <f>'Regence HSA with VSP'!P19</f>
        <v>179.63974860000002</v>
      </c>
      <c r="E12" s="1083">
        <f>D12-'Regence HSA with VSP'!F8</f>
        <v>22.209748600000012</v>
      </c>
      <c r="F12" s="1071"/>
    </row>
    <row r="13" spans="1:6" ht="17.25" customHeight="1">
      <c r="A13" s="1074" t="s">
        <v>1426</v>
      </c>
      <c r="B13" s="1075">
        <f>'Regence HSA with VSP'!H20</f>
        <v>2367.9061390000002</v>
      </c>
      <c r="C13" s="1075">
        <f>'Regence HSA with VSP'!O20</f>
        <v>2053.5365789500001</v>
      </c>
      <c r="D13" s="1076">
        <f>'Regence HSA with VSP'!P20</f>
        <v>314.36956005000002</v>
      </c>
      <c r="E13" s="1083">
        <f>D13-'Regence HSA with VSP'!F9</f>
        <v>60.65956005000001</v>
      </c>
      <c r="F13" s="1071"/>
    </row>
    <row r="14" spans="1:6" ht="17.25" customHeight="1">
      <c r="A14" s="1253" t="s">
        <v>1432</v>
      </c>
      <c r="B14" s="1254"/>
      <c r="C14" s="1255"/>
      <c r="D14" s="1070"/>
      <c r="E14" s="1070"/>
      <c r="F14" s="1071"/>
    </row>
    <row r="15" spans="1:6" ht="17.25" customHeight="1">
      <c r="A15" s="1074" t="s">
        <v>1425</v>
      </c>
      <c r="B15" s="1075">
        <f>'Kaiser w Opt'!H17</f>
        <v>859.29</v>
      </c>
      <c r="C15" s="1075">
        <f>'Kaiser w Opt'!K17</f>
        <v>773.36099999999999</v>
      </c>
      <c r="D15" s="1076">
        <f>'Kaiser w Opt'!L17</f>
        <v>85.929000000000002</v>
      </c>
      <c r="E15" s="1077">
        <f>D15-'Kaiser w Opt'!F6</f>
        <v>-62.36099999999999</v>
      </c>
      <c r="F15" s="1071"/>
    </row>
    <row r="16" spans="1:6" ht="17.25" customHeight="1">
      <c r="A16" s="1074" t="s">
        <v>1395</v>
      </c>
      <c r="B16" s="1075">
        <f>'Kaiser w Opt'!H18</f>
        <v>1718.66</v>
      </c>
      <c r="C16" s="1075">
        <f>'Kaiser w Opt'!K18</f>
        <v>1460.857</v>
      </c>
      <c r="D16" s="1076">
        <f>'Kaiser w Opt'!L18</f>
        <v>257.803</v>
      </c>
      <c r="E16" s="1077">
        <f>D16-'Kaiser w Opt'!F7</f>
        <v>-109.06700000000001</v>
      </c>
      <c r="F16" s="1071"/>
    </row>
    <row r="17" spans="1:6" ht="17.25" customHeight="1">
      <c r="A17" s="1074" t="s">
        <v>1396</v>
      </c>
      <c r="B17" s="1075">
        <f>'Kaiser w Opt'!H19</f>
        <v>1546.89</v>
      </c>
      <c r="C17" s="1075">
        <f>'Kaiser w Opt'!K19</f>
        <v>1323.441</v>
      </c>
      <c r="D17" s="1076">
        <f>'Kaiser w Opt'!L19</f>
        <v>223.44900000000004</v>
      </c>
      <c r="E17" s="1077">
        <f>D17-'Kaiser w Opt'!F8</f>
        <v>-99.740999999999957</v>
      </c>
      <c r="F17" s="1071"/>
    </row>
    <row r="18" spans="1:6" ht="17.25" customHeight="1">
      <c r="A18" s="1074" t="s">
        <v>1426</v>
      </c>
      <c r="B18" s="1075">
        <f>'Kaiser w Opt'!H20</f>
        <v>2578.38</v>
      </c>
      <c r="C18" s="1075">
        <f>'Kaiser w Opt'!K20</f>
        <v>2148.6329999999998</v>
      </c>
      <c r="D18" s="1076">
        <f>'Kaiser w Opt'!L20</f>
        <v>429.74700000000007</v>
      </c>
      <c r="E18" s="1077">
        <f>D18-'Kaiser w Opt'!F9</f>
        <v>-155.72299999999996</v>
      </c>
      <c r="F18" s="1071"/>
    </row>
    <row r="19" spans="1:6" ht="17.25" customHeight="1">
      <c r="A19" s="1253" t="s">
        <v>1433</v>
      </c>
      <c r="B19" s="1254"/>
      <c r="C19" s="1255"/>
      <c r="D19" s="1070"/>
      <c r="E19" s="1070"/>
      <c r="F19" s="1071"/>
    </row>
    <row r="20" spans="1:6" ht="17.25" customHeight="1">
      <c r="A20" s="1074" t="s">
        <v>1425</v>
      </c>
      <c r="B20" s="1075">
        <f>'Kaiser HSA'!H17</f>
        <v>614.48</v>
      </c>
      <c r="C20" s="1077">
        <f>'Kaiser HSA'!O17</f>
        <v>553.03200000000004</v>
      </c>
      <c r="D20" s="1076">
        <f>'Kaiser HSA'!P17</f>
        <v>61.448000000000008</v>
      </c>
      <c r="E20" s="1077">
        <f>D20-'Kaiser HSA'!F6</f>
        <v>-37.24199999999999</v>
      </c>
      <c r="F20" s="1071"/>
    </row>
    <row r="21" spans="1:6" ht="17.25" customHeight="1">
      <c r="A21" s="1074" t="s">
        <v>1395</v>
      </c>
      <c r="B21" s="1075">
        <f>'Kaiser HSA'!H18</f>
        <v>1228.47</v>
      </c>
      <c r="C21" s="1077">
        <f>'Kaiser HSA'!O18</f>
        <v>1074.9235000000001</v>
      </c>
      <c r="D21" s="1076">
        <f>'Kaiser HSA'!P18</f>
        <v>153.54650000000001</v>
      </c>
      <c r="E21" s="1077">
        <f>D21-'Kaiser HSA'!F7</f>
        <v>-43.773499999999984</v>
      </c>
      <c r="F21" s="1071"/>
    </row>
    <row r="22" spans="1:6" ht="17.25" customHeight="1">
      <c r="A22" s="1074" t="s">
        <v>1396</v>
      </c>
      <c r="B22" s="1075">
        <f>'Kaiser HSA'!H19</f>
        <v>1107.05</v>
      </c>
      <c r="C22" s="1077">
        <f>'Kaiser HSA'!O19</f>
        <v>971.7165</v>
      </c>
      <c r="D22" s="1076">
        <f>'Kaiser HSA'!P19</f>
        <v>135.33350000000002</v>
      </c>
      <c r="E22" s="1077">
        <f>D22-'Kaiser HSA'!F8</f>
        <v>-42.396499999999975</v>
      </c>
      <c r="F22" s="1071"/>
    </row>
    <row r="23" spans="1:6" ht="17.25" customHeight="1">
      <c r="A23" s="1074" t="s">
        <v>1426</v>
      </c>
      <c r="B23" s="1075">
        <f>'Kaiser HSA'!H20</f>
        <v>1842.95</v>
      </c>
      <c r="C23" s="1077">
        <f>'Kaiser HSA'!O20</f>
        <v>1597.2315000000001</v>
      </c>
      <c r="D23" s="1076">
        <f>'Kaiser HSA'!P20</f>
        <v>245.71850000000001</v>
      </c>
      <c r="E23" s="1084">
        <f>D23-'Kaiser HSA'!F9</f>
        <v>-50.261500000000012</v>
      </c>
      <c r="F23" s="1071"/>
    </row>
    <row r="24" spans="1:6" ht="17.25" customHeight="1">
      <c r="A24" s="1071"/>
      <c r="B24" s="1071"/>
      <c r="C24" s="1071"/>
      <c r="D24" s="1071"/>
      <c r="E24" s="1071"/>
      <c r="F24" s="1071"/>
    </row>
  </sheetData>
  <mergeCells count="6">
    <mergeCell ref="A19:C19"/>
    <mergeCell ref="A1:E1"/>
    <mergeCell ref="A2:E2"/>
    <mergeCell ref="A4:C4"/>
    <mergeCell ref="A9:C9"/>
    <mergeCell ref="A14:C1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60E54-7C68-4AE8-B28E-5A671BF39F53}">
  <dimension ref="A1:H17"/>
  <sheetViews>
    <sheetView zoomScale="115" zoomScaleNormal="115" workbookViewId="0">
      <selection activeCell="K3" sqref="K3"/>
    </sheetView>
  </sheetViews>
  <sheetFormatPr defaultRowHeight="15"/>
  <cols>
    <col min="1" max="1" width="22.5546875" style="1068" customWidth="1"/>
    <col min="2" max="4" width="16" style="1068" customWidth="1"/>
    <col min="5" max="5" width="16.88671875" style="1068" customWidth="1"/>
    <col min="6" max="7" width="16" style="1068" customWidth="1"/>
    <col min="8" max="8" width="11.5546875" style="1068" customWidth="1"/>
    <col min="9" max="16384" width="8.88671875" style="1068"/>
  </cols>
  <sheetData>
    <row r="1" spans="1:8" ht="51" customHeight="1">
      <c r="A1" s="1256" t="s">
        <v>1417</v>
      </c>
      <c r="B1" s="1256"/>
      <c r="C1" s="1256"/>
      <c r="D1" s="1256"/>
      <c r="E1" s="1256"/>
      <c r="F1" s="1256"/>
      <c r="G1" s="1256"/>
      <c r="H1" s="1079"/>
    </row>
    <row r="2" spans="1:8" ht="58.5" customHeight="1">
      <c r="A2" s="1257" t="s">
        <v>1418</v>
      </c>
      <c r="B2" s="1257"/>
      <c r="C2" s="1257"/>
      <c r="D2" s="1257"/>
      <c r="E2" s="1257"/>
      <c r="F2" s="1257"/>
      <c r="G2" s="1257"/>
      <c r="H2" s="1079"/>
    </row>
    <row r="3" spans="1:8" ht="105" customHeight="1">
      <c r="A3" s="1091" t="s">
        <v>1419</v>
      </c>
      <c r="B3" s="1102" t="s">
        <v>1434</v>
      </c>
      <c r="C3" s="1103" t="s">
        <v>1435</v>
      </c>
      <c r="D3" s="1113" t="s">
        <v>1436</v>
      </c>
      <c r="E3" s="1105" t="s">
        <v>1437</v>
      </c>
      <c r="F3" s="1113" t="s">
        <v>1436</v>
      </c>
      <c r="G3" s="1097" t="s">
        <v>1438</v>
      </c>
      <c r="H3" s="1092"/>
    </row>
    <row r="4" spans="1:8" ht="17.25" customHeight="1">
      <c r="A4" s="1261" t="s">
        <v>1424</v>
      </c>
      <c r="B4" s="1262"/>
      <c r="C4" s="1263"/>
      <c r="D4" s="1093"/>
      <c r="E4" s="1093"/>
      <c r="F4" s="1093"/>
      <c r="G4" s="1093"/>
      <c r="H4" s="1094"/>
    </row>
    <row r="5" spans="1:8" ht="17.25" customHeight="1">
      <c r="A5" s="1095" t="s">
        <v>1439</v>
      </c>
      <c r="B5" s="1099">
        <f>'Regence with VSP'!E11</f>
        <v>8990339.1600000001</v>
      </c>
      <c r="C5" s="1099">
        <f>'Regence with VSP'!I11</f>
        <v>9198483.8336400017</v>
      </c>
      <c r="D5" s="1100">
        <f>C5-B5</f>
        <v>208144.67364000157</v>
      </c>
      <c r="E5" s="1104">
        <f>'Regence with VSP'!K22</f>
        <v>9472255.1247239988</v>
      </c>
      <c r="F5" s="1100">
        <f>E5-B5</f>
        <v>481915.96472399868</v>
      </c>
      <c r="G5" s="1099">
        <f>E5-C5</f>
        <v>273771.29108399712</v>
      </c>
      <c r="H5" s="1094"/>
    </row>
    <row r="6" spans="1:8" ht="17.25" customHeight="1">
      <c r="A6" s="1095"/>
      <c r="B6" s="1096"/>
      <c r="C6" s="1096"/>
      <c r="D6" s="1098"/>
      <c r="E6" s="1098"/>
      <c r="F6" s="1098"/>
      <c r="G6" s="1106"/>
      <c r="H6" s="1094"/>
    </row>
    <row r="7" spans="1:8" ht="17.25" customHeight="1">
      <c r="A7" s="1261" t="s">
        <v>1427</v>
      </c>
      <c r="B7" s="1262"/>
      <c r="C7" s="1263"/>
      <c r="D7" s="1093"/>
      <c r="E7" s="1093"/>
      <c r="F7" s="1093"/>
      <c r="G7" s="1093"/>
      <c r="H7" s="1094"/>
    </row>
    <row r="8" spans="1:8" ht="17.25" customHeight="1">
      <c r="A8" s="1095" t="s">
        <v>1439</v>
      </c>
      <c r="B8" s="1099">
        <f>'Regence HSA with VSP'!E11</f>
        <v>2367612.84</v>
      </c>
      <c r="C8" s="1099">
        <f>'Regence HSA with VSP'!I11</f>
        <v>2420375.474808</v>
      </c>
      <c r="D8" s="1100">
        <f>C8-B8</f>
        <v>52762.634808000177</v>
      </c>
      <c r="E8" s="1104">
        <f>'Regence HSA with VSP'!K22</f>
        <v>2440034.3712575999</v>
      </c>
      <c r="F8" s="1100">
        <f>E8-B8</f>
        <v>72421.531257600058</v>
      </c>
      <c r="G8" s="1099">
        <f>E8-C8</f>
        <v>19658.896449599881</v>
      </c>
      <c r="H8" s="1094"/>
    </row>
    <row r="9" spans="1:8" ht="17.25" customHeight="1">
      <c r="A9" s="1107" t="s">
        <v>1426</v>
      </c>
      <c r="B9" s="1108"/>
      <c r="C9" s="1108"/>
      <c r="D9" s="1098"/>
      <c r="E9" s="1098"/>
      <c r="F9" s="1098"/>
      <c r="G9" s="1106"/>
      <c r="H9" s="1094"/>
    </row>
    <row r="10" spans="1:8" ht="17.25" customHeight="1">
      <c r="A10" s="1261" t="s">
        <v>1428</v>
      </c>
      <c r="B10" s="1262"/>
      <c r="C10" s="1263"/>
      <c r="D10" s="1093"/>
      <c r="E10" s="1093"/>
      <c r="F10" s="1093"/>
      <c r="G10" s="1093"/>
      <c r="H10" s="1094"/>
    </row>
    <row r="11" spans="1:8" ht="17.25" customHeight="1">
      <c r="A11" s="1109" t="s">
        <v>1425</v>
      </c>
      <c r="B11" s="1099">
        <f>'Kaiser w Opt'!E11</f>
        <v>3877620.24</v>
      </c>
      <c r="C11" s="1099">
        <f>'Kaiser w Opt'!I11</f>
        <v>3889620.7199999997</v>
      </c>
      <c r="D11" s="1100">
        <f>C11-B11</f>
        <v>12000.479999999516</v>
      </c>
      <c r="E11" s="1104">
        <f>'Kaiser w Opt'!I22</f>
        <v>3876620.6400000006</v>
      </c>
      <c r="F11" s="1100">
        <f>E11-B11</f>
        <v>-999.59999999962747</v>
      </c>
      <c r="G11" s="1099">
        <f>E11-C11</f>
        <v>-13000.079999999143</v>
      </c>
      <c r="H11" s="1094"/>
    </row>
    <row r="12" spans="1:8" ht="17.25" customHeight="1">
      <c r="A12" s="1109"/>
      <c r="B12" s="1099"/>
      <c r="C12" s="1099"/>
      <c r="D12" s="1101"/>
      <c r="E12" s="1104"/>
      <c r="F12" s="1101"/>
      <c r="G12" s="1099"/>
      <c r="H12" s="1094"/>
    </row>
    <row r="13" spans="1:8" ht="17.25" customHeight="1">
      <c r="A13" s="1258" t="s">
        <v>1429</v>
      </c>
      <c r="B13" s="1259"/>
      <c r="C13" s="1260"/>
      <c r="D13" s="1110"/>
      <c r="E13" s="1110"/>
      <c r="F13" s="1110"/>
      <c r="G13" s="1110"/>
      <c r="H13" s="1094"/>
    </row>
    <row r="14" spans="1:8" ht="17.25" customHeight="1">
      <c r="A14" s="1109" t="s">
        <v>1425</v>
      </c>
      <c r="B14" s="1099">
        <f>'Kaiser HSA'!E11</f>
        <v>530559.96</v>
      </c>
      <c r="C14" s="1099">
        <f>'Kaiser HSA'!I11</f>
        <v>531969.96</v>
      </c>
      <c r="D14" s="1100">
        <f>C14-B14</f>
        <v>1410</v>
      </c>
      <c r="E14" s="1104">
        <f>'Kaiser HSA'!I22</f>
        <v>537682.67999999993</v>
      </c>
      <c r="F14" s="1100">
        <f>E14-B14</f>
        <v>7122.7199999999721</v>
      </c>
      <c r="G14" s="1099">
        <f>E14-C14</f>
        <v>5712.7199999999721</v>
      </c>
      <c r="H14" s="1094"/>
    </row>
    <row r="15" spans="1:8" ht="17.25" customHeight="1">
      <c r="A15" s="1109"/>
      <c r="B15" s="1099"/>
      <c r="C15" s="1099"/>
      <c r="D15" s="1101"/>
      <c r="E15" s="1101"/>
      <c r="F15" s="1101"/>
      <c r="G15" s="1104"/>
      <c r="H15" s="1094"/>
    </row>
    <row r="16" spans="1:8" ht="6.75" customHeight="1">
      <c r="A16" s="1112"/>
      <c r="B16" s="1112"/>
      <c r="C16" s="1112"/>
      <c r="D16" s="1112"/>
      <c r="E16" s="1112"/>
      <c r="F16" s="1112"/>
      <c r="G16" s="1112"/>
      <c r="H16" s="1094"/>
    </row>
    <row r="17" spans="1:7" ht="20.25" customHeight="1">
      <c r="A17" s="1111" t="s">
        <v>128</v>
      </c>
      <c r="B17" s="1114">
        <f t="shared" ref="B17:G17" si="0">SUM(B5+B8+B11+B14)</f>
        <v>15766132.199999999</v>
      </c>
      <c r="C17" s="1114">
        <f t="shared" si="0"/>
        <v>16040449.988448001</v>
      </c>
      <c r="D17" s="1115">
        <f t="shared" si="0"/>
        <v>274317.78844800126</v>
      </c>
      <c r="E17" s="1114">
        <f t="shared" si="0"/>
        <v>16326592.815981599</v>
      </c>
      <c r="F17" s="1115">
        <f t="shared" si="0"/>
        <v>560460.61598159908</v>
      </c>
      <c r="G17" s="1114">
        <f t="shared" si="0"/>
        <v>286142.82753359783</v>
      </c>
    </row>
  </sheetData>
  <mergeCells count="6">
    <mergeCell ref="A13:C13"/>
    <mergeCell ref="A1:G1"/>
    <mergeCell ref="A2:G2"/>
    <mergeCell ref="A4:C4"/>
    <mergeCell ref="A7:C7"/>
    <mergeCell ref="A10:C1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E6A4A-3275-4868-A2A4-0569A3F6843D}">
  <dimension ref="A1:H17"/>
  <sheetViews>
    <sheetView zoomScale="115" zoomScaleNormal="115" workbookViewId="0">
      <selection activeCell="F17" sqref="F17"/>
    </sheetView>
  </sheetViews>
  <sheetFormatPr defaultRowHeight="15"/>
  <cols>
    <col min="1" max="1" width="22.5546875" style="1068" customWidth="1"/>
    <col min="2" max="4" width="16" style="1068" customWidth="1"/>
    <col min="5" max="5" width="16.88671875" style="1068" customWidth="1"/>
    <col min="6" max="7" width="16" style="1068" customWidth="1"/>
    <col min="8" max="8" width="11.5546875" style="1068" customWidth="1"/>
    <col min="9" max="16384" width="8.88671875" style="1068"/>
  </cols>
  <sheetData>
    <row r="1" spans="1:8" ht="51" customHeight="1">
      <c r="A1" s="1256" t="s">
        <v>1417</v>
      </c>
      <c r="B1" s="1256"/>
      <c r="C1" s="1256"/>
      <c r="D1" s="1256"/>
      <c r="E1" s="1256"/>
      <c r="F1" s="1256"/>
      <c r="G1" s="1256"/>
      <c r="H1" s="1079"/>
    </row>
    <row r="2" spans="1:8" ht="58.5" customHeight="1">
      <c r="A2" s="1257" t="s">
        <v>1430</v>
      </c>
      <c r="B2" s="1257"/>
      <c r="C2" s="1257"/>
      <c r="D2" s="1257"/>
      <c r="E2" s="1257"/>
      <c r="F2" s="1257"/>
      <c r="G2" s="1257"/>
      <c r="H2" s="1079"/>
    </row>
    <row r="3" spans="1:8" ht="87.75" customHeight="1">
      <c r="A3" s="1091" t="s">
        <v>1419</v>
      </c>
      <c r="B3" s="1102" t="s">
        <v>1434</v>
      </c>
      <c r="C3" s="1103" t="s">
        <v>1435</v>
      </c>
      <c r="D3" s="1113" t="s">
        <v>1436</v>
      </c>
      <c r="E3" s="1105" t="s">
        <v>1437</v>
      </c>
      <c r="F3" s="1113" t="s">
        <v>1436</v>
      </c>
      <c r="G3" s="1097" t="s">
        <v>1438</v>
      </c>
      <c r="H3" s="1092"/>
    </row>
    <row r="4" spans="1:8" ht="17.25" customHeight="1">
      <c r="A4" s="1261" t="s">
        <v>1424</v>
      </c>
      <c r="B4" s="1262"/>
      <c r="C4" s="1263"/>
      <c r="D4" s="1093"/>
      <c r="E4" s="1093"/>
      <c r="F4" s="1093"/>
      <c r="G4" s="1093"/>
      <c r="H4" s="1094"/>
    </row>
    <row r="5" spans="1:8" ht="17.25" customHeight="1">
      <c r="A5" s="1095" t="s">
        <v>1439</v>
      </c>
      <c r="B5" s="1099">
        <f>'Regence with VSP'!E11</f>
        <v>8990339.1600000001</v>
      </c>
      <c r="C5" s="1099">
        <f>'Regence with VSP'!I11</f>
        <v>9198483.8336400017</v>
      </c>
      <c r="D5" s="1100">
        <f>C5-B5</f>
        <v>208144.67364000157</v>
      </c>
      <c r="E5" s="1104">
        <f>'Regence with VSP'!K22</f>
        <v>9472255.1247239988</v>
      </c>
      <c r="F5" s="1100">
        <f>E5-B5</f>
        <v>481915.96472399868</v>
      </c>
      <c r="G5" s="1099">
        <f>E5-C5</f>
        <v>273771.29108399712</v>
      </c>
      <c r="H5" s="1094"/>
    </row>
    <row r="6" spans="1:8" ht="17.25" customHeight="1">
      <c r="A6" s="1095"/>
      <c r="B6" s="1096"/>
      <c r="C6" s="1096"/>
      <c r="D6" s="1098"/>
      <c r="E6" s="1098"/>
      <c r="F6" s="1098"/>
      <c r="G6" s="1106"/>
      <c r="H6" s="1094"/>
    </row>
    <row r="7" spans="1:8" ht="17.25" customHeight="1">
      <c r="A7" s="1261" t="s">
        <v>1431</v>
      </c>
      <c r="B7" s="1262"/>
      <c r="C7" s="1263"/>
      <c r="D7" s="1093"/>
      <c r="E7" s="1093"/>
      <c r="F7" s="1093"/>
      <c r="G7" s="1093"/>
      <c r="H7" s="1094"/>
    </row>
    <row r="8" spans="1:8" ht="17.25" customHeight="1">
      <c r="A8" s="1095" t="s">
        <v>1439</v>
      </c>
      <c r="B8" s="1099">
        <f>'Regence HSA with VSP'!E11</f>
        <v>2367612.84</v>
      </c>
      <c r="C8" s="1099">
        <f>'Regence HSA with VSP'!I11</f>
        <v>2420375.474808</v>
      </c>
      <c r="D8" s="1100">
        <f>C8-B8</f>
        <v>52762.634808000177</v>
      </c>
      <c r="E8" s="1104">
        <f>'Regence HSA with VSP'!O22</f>
        <v>2515393.5975492001</v>
      </c>
      <c r="F8" s="1100">
        <f>E8-B8</f>
        <v>147780.75754920021</v>
      </c>
      <c r="G8" s="1099">
        <f>E8-C8</f>
        <v>95018.12274120003</v>
      </c>
      <c r="H8" s="1094"/>
    </row>
    <row r="9" spans="1:8" ht="17.25" customHeight="1">
      <c r="A9" s="1107" t="s">
        <v>1426</v>
      </c>
      <c r="B9" s="1108"/>
      <c r="C9" s="1108"/>
      <c r="D9" s="1098"/>
      <c r="E9" s="1098"/>
      <c r="F9" s="1098"/>
      <c r="G9" s="1106"/>
      <c r="H9" s="1094"/>
    </row>
    <row r="10" spans="1:8" ht="17.25" customHeight="1">
      <c r="A10" s="1261" t="s">
        <v>1428</v>
      </c>
      <c r="B10" s="1262"/>
      <c r="C10" s="1263"/>
      <c r="D10" s="1093"/>
      <c r="E10" s="1093"/>
      <c r="F10" s="1093"/>
      <c r="G10" s="1093"/>
      <c r="H10" s="1094"/>
    </row>
    <row r="11" spans="1:8" ht="17.25" customHeight="1">
      <c r="A11" s="1109" t="s">
        <v>1425</v>
      </c>
      <c r="B11" s="1099">
        <f>'Kaiser w Opt'!E11</f>
        <v>3877620.24</v>
      </c>
      <c r="C11" s="1099">
        <f>'Kaiser w Opt'!I11</f>
        <v>3889620.7199999997</v>
      </c>
      <c r="D11" s="1100">
        <f>C11-B11</f>
        <v>12000.479999999516</v>
      </c>
      <c r="E11" s="1104">
        <f>'Kaiser w Opt'!K22</f>
        <v>4169009.9639999997</v>
      </c>
      <c r="F11" s="1100">
        <f>E11-B11</f>
        <v>291389.72399999946</v>
      </c>
      <c r="G11" s="1099">
        <f>E11-C11</f>
        <v>279389.24399999995</v>
      </c>
      <c r="H11" s="1094"/>
    </row>
    <row r="12" spans="1:8" ht="17.25" customHeight="1">
      <c r="A12" s="1109"/>
      <c r="B12" s="1099"/>
      <c r="C12" s="1099"/>
      <c r="D12" s="1101"/>
      <c r="E12" s="1104"/>
      <c r="F12" s="1101"/>
      <c r="G12" s="1099"/>
      <c r="H12" s="1094"/>
    </row>
    <row r="13" spans="1:8" ht="17.25" customHeight="1">
      <c r="A13" s="1258" t="s">
        <v>1440</v>
      </c>
      <c r="B13" s="1259"/>
      <c r="C13" s="1260"/>
      <c r="D13" s="1110"/>
      <c r="E13" s="1110"/>
      <c r="F13" s="1110"/>
      <c r="G13" s="1110"/>
      <c r="H13" s="1094"/>
    </row>
    <row r="14" spans="1:8" ht="17.25" customHeight="1">
      <c r="A14" s="1109" t="s">
        <v>1425</v>
      </c>
      <c r="B14" s="1099">
        <f>'Kaiser HSA'!E11</f>
        <v>530559.96</v>
      </c>
      <c r="C14" s="1099">
        <f>'Kaiser HSA'!I11</f>
        <v>531969.96</v>
      </c>
      <c r="D14" s="1100">
        <f>C14-B14</f>
        <v>1410</v>
      </c>
      <c r="E14" s="1104">
        <f>'Kaiser HSA'!O22</f>
        <v>574842.34800000011</v>
      </c>
      <c r="F14" s="1100">
        <f>E14-B14</f>
        <v>44282.388000000152</v>
      </c>
      <c r="G14" s="1099">
        <f>E14-C14</f>
        <v>42872.388000000152</v>
      </c>
      <c r="H14" s="1094"/>
    </row>
    <row r="15" spans="1:8" ht="17.25" customHeight="1">
      <c r="A15" s="1109"/>
      <c r="B15" s="1099"/>
      <c r="C15" s="1099"/>
      <c r="D15" s="1101"/>
      <c r="E15" s="1101"/>
      <c r="F15" s="1101"/>
      <c r="G15" s="1104"/>
      <c r="H15" s="1094"/>
    </row>
    <row r="16" spans="1:8" ht="6.75" customHeight="1">
      <c r="A16" s="1112"/>
      <c r="B16" s="1112"/>
      <c r="C16" s="1112"/>
      <c r="D16" s="1112"/>
      <c r="E16" s="1112"/>
      <c r="F16" s="1112"/>
      <c r="G16" s="1112"/>
      <c r="H16" s="1094"/>
    </row>
    <row r="17" spans="1:7" ht="20.25" customHeight="1">
      <c r="A17" s="1111" t="s">
        <v>128</v>
      </c>
      <c r="B17" s="1114">
        <f t="shared" ref="B17:G17" si="0">SUM(B5+B8+B11+B14)</f>
        <v>15766132.199999999</v>
      </c>
      <c r="C17" s="1114">
        <f t="shared" si="0"/>
        <v>16040449.988448001</v>
      </c>
      <c r="D17" s="1115">
        <f t="shared" si="0"/>
        <v>274317.78844800126</v>
      </c>
      <c r="E17" s="1114">
        <f t="shared" si="0"/>
        <v>16731501.034273198</v>
      </c>
      <c r="F17" s="1115">
        <f t="shared" si="0"/>
        <v>965368.8342731985</v>
      </c>
      <c r="G17" s="1114">
        <f t="shared" si="0"/>
        <v>691051.04582519724</v>
      </c>
    </row>
  </sheetData>
  <mergeCells count="6">
    <mergeCell ref="A13:C13"/>
    <mergeCell ref="A1:G1"/>
    <mergeCell ref="A2:G2"/>
    <mergeCell ref="A4:C4"/>
    <mergeCell ref="A7:C7"/>
    <mergeCell ref="A10:C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C5C3E48AC6994EAD839E711BEA89EA" ma:contentTypeVersion="4" ma:contentTypeDescription="Create a new document." ma:contentTypeScope="" ma:versionID="b57fb7e5ee65fc508cea8504f15f9802">
  <xsd:schema xmlns:xsd="http://www.w3.org/2001/XMLSchema" xmlns:xs="http://www.w3.org/2001/XMLSchema" xmlns:p="http://schemas.microsoft.com/office/2006/metadata/properties" xmlns:ns2="38520700-707e-4f63-bac9-89628d3ab05f" targetNamespace="http://schemas.microsoft.com/office/2006/metadata/properties" ma:root="true" ma:fieldsID="6a9eb495cdc497d0648ce46d21548f7f" ns2:_="">
    <xsd:import namespace="38520700-707e-4f63-bac9-89628d3ab0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20700-707e-4f63-bac9-89628d3ab0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2D1C73-227A-4596-B801-5E798907A7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B79EFE-4A0D-46BF-B71D-B4237CA51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520700-707e-4f63-bac9-89628d3ab0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7E3A8E-FD2D-4A31-9C02-06CEE411A3D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28</vt:i4>
      </vt:variant>
    </vt:vector>
  </HeadingPairs>
  <TitlesOfParts>
    <vt:vector size="57" baseType="lpstr">
      <vt:lpstr>Medical_Rx_Vision (RGA Symetra)</vt:lpstr>
      <vt:lpstr>Medical_Rx_Vision (RGA) ($150K)</vt:lpstr>
      <vt:lpstr>Medical_Rx_Vision (RGA) ($125)</vt:lpstr>
      <vt:lpstr>Medical_Rx_Vision (RGA) ($100K)</vt:lpstr>
      <vt:lpstr>Medical_Rx_Vision (RGA) ($200K)</vt:lpstr>
      <vt:lpstr>Medical_Rx_Vision (RGA) ($225K)</vt:lpstr>
      <vt:lpstr>TPA Actuarial Options</vt:lpstr>
      <vt:lpstr>SL Actuarial Options</vt:lpstr>
      <vt:lpstr>Rate History (Dental)</vt:lpstr>
      <vt:lpstr>Specific SL</vt:lpstr>
      <vt:lpstr>Sheet3</vt:lpstr>
      <vt:lpstr>2023.06 to 2024.05 LC</vt:lpstr>
      <vt:lpstr>Medical &amp; Rx Total</vt:lpstr>
      <vt:lpstr>Medical &amp; Rx Total (PEPM)</vt:lpstr>
      <vt:lpstr>Dental</vt:lpstr>
      <vt:lpstr>Dental PEPM</vt:lpstr>
      <vt:lpstr>Vision</vt:lpstr>
      <vt:lpstr>Vision PEPM</vt:lpstr>
      <vt:lpstr>Kais 200 vs Reg 400</vt:lpstr>
      <vt:lpstr>Kais HDHP vs Reg HDHP</vt:lpstr>
      <vt:lpstr>Kais 500 vs Reg 500 </vt:lpstr>
      <vt:lpstr>Regence with VSP</vt:lpstr>
      <vt:lpstr>Regence HSA with VSP</vt:lpstr>
      <vt:lpstr>Kaiser w Opt</vt:lpstr>
      <vt:lpstr>Kaiser HSA</vt:lpstr>
      <vt:lpstr>Table 1</vt:lpstr>
      <vt:lpstr>Table 2</vt:lpstr>
      <vt:lpstr>City Costs 1</vt:lpstr>
      <vt:lpstr>City Costs 2</vt:lpstr>
      <vt:lpstr>Dental!Print_Area</vt:lpstr>
      <vt:lpstr>'Dental PEPM'!Print_Area</vt:lpstr>
      <vt:lpstr>'Kaiser HSA'!Print_Area</vt:lpstr>
      <vt:lpstr>'Kaiser w Opt'!Print_Area</vt:lpstr>
      <vt:lpstr>'Medical &amp; Rx Total'!Print_Area</vt:lpstr>
      <vt:lpstr>'Medical &amp; Rx Total (PEPM)'!Print_Area</vt:lpstr>
      <vt:lpstr>'Medical_Rx_Vision (RGA Symetra)'!Print_Area</vt:lpstr>
      <vt:lpstr>'Medical_Rx_Vision (RGA) ($100K)'!Print_Area</vt:lpstr>
      <vt:lpstr>'Medical_Rx_Vision (RGA) ($125)'!Print_Area</vt:lpstr>
      <vt:lpstr>'Medical_Rx_Vision (RGA) ($150K)'!Print_Area</vt:lpstr>
      <vt:lpstr>'Medical_Rx_Vision (RGA) ($200K)'!Print_Area</vt:lpstr>
      <vt:lpstr>'Medical_Rx_Vision (RGA) ($225K)'!Print_Area</vt:lpstr>
      <vt:lpstr>'Rate History (Dental)'!Print_Area</vt:lpstr>
      <vt:lpstr>'Regence HSA with VSP'!Print_Area</vt:lpstr>
      <vt:lpstr>'Regence with VSP'!Print_Area</vt:lpstr>
      <vt:lpstr>'SL Actuarial Options'!Print_Area</vt:lpstr>
      <vt:lpstr>'Specific SL'!Print_Area</vt:lpstr>
      <vt:lpstr>'TPA Actuarial Options'!Print_Area</vt:lpstr>
      <vt:lpstr>Vision!Print_Area</vt:lpstr>
      <vt:lpstr>'Vision PEPM'!Print_Area</vt:lpstr>
      <vt:lpstr>'Medical_Rx_Vision (RGA Symetra)'!Print_Titles</vt:lpstr>
      <vt:lpstr>'Medical_Rx_Vision (RGA) ($100K)'!Print_Titles</vt:lpstr>
      <vt:lpstr>'Medical_Rx_Vision (RGA) ($125)'!Print_Titles</vt:lpstr>
      <vt:lpstr>'Medical_Rx_Vision (RGA) ($150K)'!Print_Titles</vt:lpstr>
      <vt:lpstr>'Medical_Rx_Vision (RGA) ($200K)'!Print_Titles</vt:lpstr>
      <vt:lpstr>'Medical_Rx_Vision (RGA) ($225K)'!Print_Titles</vt:lpstr>
      <vt:lpstr>'SL Actuarial Options'!Print_Titles</vt:lpstr>
      <vt:lpstr>'TPA Actuarial Options'!Print_Titles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KyleD@jjdavidson.com</dc:creator>
  <cp:keywords/>
  <dc:description/>
  <cp:lastModifiedBy>Erica Riggs</cp:lastModifiedBy>
  <cp:revision/>
  <dcterms:created xsi:type="dcterms:W3CDTF">2011-03-04T16:44:30Z</dcterms:created>
  <dcterms:modified xsi:type="dcterms:W3CDTF">2024-09-09T19:08:25Z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0x010100AAC5C3E48AC6994EAD839E711BEA89EA</vt:lpwstr>
  </property>
</Properties>
</file>